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15" windowWidth="11340" windowHeight="6540" activeTab="0"/>
  </bookViews>
  <sheets>
    <sheet name="Zadání" sheetId="1" r:id="rId1"/>
    <sheet name="Leasing" sheetId="2" r:id="rId2"/>
    <sheet name="Úvěr" sheetId="3" r:id="rId3"/>
    <sheet name="Expres splátky" sheetId="4" r:id="rId4"/>
    <sheet name="Žadost" sheetId="5" r:id="rId5"/>
  </sheets>
  <definedNames>
    <definedName name="_xlnm.Print_Area" localSheetId="3">'Expres splátky'!$B$1:$G$45</definedName>
    <definedName name="_xlnm.Print_Area" localSheetId="1">'Leasing'!$B$1:$H$44</definedName>
    <definedName name="_xlnm.Print_Area" localSheetId="2">'Úvěr'!$B$1:$I$44</definedName>
    <definedName name="_xlnm.Print_Area" localSheetId="0">'Zadání'!$A$1:$J$25</definedName>
    <definedName name="_xlnm.Print_Area" localSheetId="4">'Žadost'!$A$1:$AM$72</definedName>
  </definedNames>
  <calcPr fullCalcOnLoad="1"/>
</workbook>
</file>

<file path=xl/sharedStrings.xml><?xml version="1.0" encoding="utf-8"?>
<sst xmlns="http://schemas.openxmlformats.org/spreadsheetml/2006/main" count="230" uniqueCount="140">
  <si>
    <t>v %</t>
  </si>
  <si>
    <t>48 měsíčních splátek</t>
  </si>
  <si>
    <t>36 měsíčních splátek</t>
  </si>
  <si>
    <t>24 měsíčních splátek</t>
  </si>
  <si>
    <t xml:space="preserve">  Závaznou kalkulaci leasingu vč.pojištění a poplatku vypracujeme po předložení požadovaných podkladů pro schválení leasingu.</t>
  </si>
  <si>
    <t>DIČ:</t>
  </si>
  <si>
    <t>www:</t>
  </si>
  <si>
    <t>Mobil:</t>
  </si>
  <si>
    <t xml:space="preserve">      </t>
  </si>
  <si>
    <t xml:space="preserve">Adresa : </t>
  </si>
  <si>
    <t xml:space="preserve">IČ: </t>
  </si>
  <si>
    <t>Telefon:</t>
  </si>
  <si>
    <t xml:space="preserve">Fax: </t>
  </si>
  <si>
    <t>E-mail:</t>
  </si>
  <si>
    <t>Pořizovací cena bez DPH:</t>
  </si>
  <si>
    <t>Nový</t>
  </si>
  <si>
    <t>Použitý</t>
  </si>
  <si>
    <t xml:space="preserve">Termín dodání: </t>
  </si>
  <si>
    <t>Název dodavatele:</t>
  </si>
  <si>
    <t xml:space="preserve">Kontaktní osoba za dodavatele: </t>
  </si>
  <si>
    <t xml:space="preserve">Pojištění: </t>
  </si>
  <si>
    <t xml:space="preserve">P Ř E D M Ě T   </t>
  </si>
  <si>
    <t>1 - Praha</t>
  </si>
  <si>
    <t>2 - Rakovník</t>
  </si>
  <si>
    <t>úrok</t>
  </si>
  <si>
    <t>Typ kalkulace</t>
  </si>
  <si>
    <t>1 - Standard</t>
  </si>
  <si>
    <t>2 - VIP</t>
  </si>
  <si>
    <t>3 - TOP</t>
  </si>
  <si>
    <t>Pobočka CCI</t>
  </si>
  <si>
    <t>standard</t>
  </si>
  <si>
    <t>VIP</t>
  </si>
  <si>
    <t>TOP</t>
  </si>
  <si>
    <t>typ kalkulace</t>
  </si>
  <si>
    <t>platnost nabídka</t>
  </si>
  <si>
    <t>60 měsíčních splátek</t>
  </si>
  <si>
    <t xml:space="preserve">K A L K U L A C E                    </t>
  </si>
  <si>
    <t xml:space="preserve"> Cena předmětu bez DPH</t>
  </si>
  <si>
    <t>CCI</t>
  </si>
  <si>
    <t>adresa</t>
  </si>
  <si>
    <t>Pražská 2327, 269 01 Rakovník</t>
  </si>
  <si>
    <t>telefon</t>
  </si>
  <si>
    <t>tel.: 313 515 742</t>
  </si>
  <si>
    <t>fax</t>
  </si>
  <si>
    <t>fax: 313 516 160</t>
  </si>
  <si>
    <t>e-mail</t>
  </si>
  <si>
    <t>info@euroleasing.cz</t>
  </si>
  <si>
    <t xml:space="preserve"> Typ klienta</t>
  </si>
  <si>
    <t>odpočet DPH</t>
  </si>
  <si>
    <t>v Kč</t>
  </si>
  <si>
    <t>datum</t>
  </si>
  <si>
    <t xml:space="preserve"> Leasing</t>
  </si>
  <si>
    <t>3 - OZ</t>
  </si>
  <si>
    <t>vyřizuje</t>
  </si>
  <si>
    <t>Petr Novák</t>
  </si>
  <si>
    <t>Výsledek</t>
  </si>
  <si>
    <t>akontace</t>
  </si>
  <si>
    <t>Typ klienta</t>
  </si>
  <si>
    <t>Provize OZ</t>
  </si>
  <si>
    <t>Kontaktní údaje obchodního zástupce</t>
  </si>
  <si>
    <t>název obchodního zástupce</t>
  </si>
  <si>
    <t xml:space="preserve"> Sazba DPH</t>
  </si>
  <si>
    <t>Platba předem</t>
  </si>
  <si>
    <t xml:space="preserve"> Platba předem</t>
  </si>
  <si>
    <t xml:space="preserve"> Měsíční splátka</t>
  </si>
  <si>
    <t>Celkem</t>
  </si>
  <si>
    <t>DPH</t>
  </si>
  <si>
    <t>bez DPH</t>
  </si>
  <si>
    <t xml:space="preserve"> K A L K U L A C E</t>
  </si>
  <si>
    <t>Typ produktu</t>
  </si>
  <si>
    <t xml:space="preserve">       standard</t>
  </si>
  <si>
    <t xml:space="preserve">       rizikový</t>
  </si>
  <si>
    <t>Délka splácení</t>
  </si>
  <si>
    <t>EUROLEASING 1/2010</t>
  </si>
  <si>
    <t>platba předem</t>
  </si>
  <si>
    <t>cena vč. DPH</t>
  </si>
  <si>
    <t>splátky 3</t>
  </si>
  <si>
    <t>splátky 4</t>
  </si>
  <si>
    <t>splátky 5</t>
  </si>
  <si>
    <t>splátka</t>
  </si>
  <si>
    <t>Expres splátky</t>
  </si>
  <si>
    <t>leasing</t>
  </si>
  <si>
    <t>provize</t>
  </si>
  <si>
    <t>riziko</t>
  </si>
  <si>
    <t>úvěr</t>
  </si>
  <si>
    <t>Žádost  o poskytnutí financování</t>
  </si>
  <si>
    <t xml:space="preserve">                právnické osoby, fyzické osoby - podnikatelé</t>
  </si>
  <si>
    <t>Ž A D A T E L</t>
  </si>
  <si>
    <t xml:space="preserve">Název žadatele: </t>
  </si>
  <si>
    <t xml:space="preserve">Plátce DPH: </t>
  </si>
  <si>
    <t>Statutární zástupce:</t>
  </si>
  <si>
    <t>Č.bankovního účtu:</t>
  </si>
  <si>
    <t>Kód banky:</t>
  </si>
  <si>
    <t>Předmět financování:</t>
  </si>
  <si>
    <t xml:space="preserve">Adresa dodavatele: </t>
  </si>
  <si>
    <t>IČ dodavatele:</t>
  </si>
  <si>
    <t xml:space="preserve">Místo dodání: </t>
  </si>
  <si>
    <t>P O D M Í N K Y</t>
  </si>
  <si>
    <t>Doba  splácení (v měsících):</t>
  </si>
  <si>
    <t>Mim. splátka - platba předem v %:</t>
  </si>
  <si>
    <r>
      <t>Měsíční splátka</t>
    </r>
    <r>
      <rPr>
        <sz val="9"/>
        <rFont val="Arial CE"/>
        <family val="2"/>
      </rPr>
      <t xml:space="preserve"> </t>
    </r>
    <r>
      <rPr>
        <sz val="7"/>
        <rFont val="Arial CE"/>
        <family val="2"/>
      </rPr>
      <t>vč.DPH (bez poj.)</t>
    </r>
  </si>
  <si>
    <t xml:space="preserve">Produkt: </t>
  </si>
  <si>
    <t xml:space="preserve"> Úvěr</t>
  </si>
  <si>
    <t>Zahrnout do měsíčních splátek</t>
  </si>
  <si>
    <t>Žadatel zajistí individuálně</t>
  </si>
  <si>
    <t>Z Á V A Z K Y</t>
  </si>
  <si>
    <t xml:space="preserve">Počet uzavřených leas.smluv: </t>
  </si>
  <si>
    <r>
      <t xml:space="preserve">Součet poř.cen leas. smluv </t>
    </r>
    <r>
      <rPr>
        <sz val="7"/>
        <rFont val="Arial CE"/>
        <family val="2"/>
      </rPr>
      <t>bez DPH:</t>
    </r>
  </si>
  <si>
    <t>U těchto leas. společností:</t>
  </si>
  <si>
    <t xml:space="preserve">Výše poskytnutých úvěrů: </t>
  </si>
  <si>
    <t xml:space="preserve">   U těchto bank: </t>
  </si>
  <si>
    <t>O S T A T N Í    I N F O R M A C E</t>
  </si>
  <si>
    <t>Předmět podnikání žadatele:</t>
  </si>
  <si>
    <t xml:space="preserve">Důvod pořízení předmětu LS: </t>
  </si>
  <si>
    <t>Počet zaměstnanců:</t>
  </si>
  <si>
    <t>Umístění provozoven:</t>
  </si>
  <si>
    <t>Hlavní dodavatelé:</t>
  </si>
  <si>
    <t>Hlavní odběratelé:</t>
  </si>
  <si>
    <t>Podíly v jiných společnostech:</t>
  </si>
  <si>
    <t>Dosavadní činnosti žadatele:</t>
  </si>
  <si>
    <t>Poznámka:</t>
  </si>
  <si>
    <t>Místo a datum podpisu žádosti:</t>
  </si>
  <si>
    <t>Podpis žadatele:</t>
  </si>
  <si>
    <t>www.euroleasing.cz</t>
  </si>
  <si>
    <t>EXPRES SPLÁTKY</t>
  </si>
  <si>
    <t xml:space="preserve"> Prodejní cena bez DPH</t>
  </si>
  <si>
    <t xml:space="preserve"> Prodejní cena vč. DPH</t>
  </si>
  <si>
    <t>5 měsíčních splátek</t>
  </si>
  <si>
    <t>4 měsíčních splátek</t>
  </si>
  <si>
    <t>3 měsíčních splátek</t>
  </si>
  <si>
    <t>Platnost od 1. 1. 2010</t>
  </si>
  <si>
    <t xml:space="preserve">   Závaznou kalkulaci produktu EXPRES Splátky Vám vypracujeme po předložení požadovaných podkladů pro schválení financování.</t>
  </si>
  <si>
    <t xml:space="preserve">ÚVĚR </t>
  </si>
  <si>
    <t>LEASING</t>
  </si>
  <si>
    <t>s DPH</t>
  </si>
  <si>
    <t xml:space="preserve">    platba předem</t>
  </si>
  <si>
    <t>splátky úvěru</t>
  </si>
  <si>
    <t>leasingové splátky</t>
  </si>
  <si>
    <t xml:space="preserve">Financování nákupu movitých věcí od  50 tis. Kč bez DPH                    </t>
  </si>
  <si>
    <t>Expres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</si>
</sst>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#,##0.000"/>
    <numFmt numFmtId="170" formatCode="#,##0.0000"/>
    <numFmt numFmtId="171" formatCode="#,##0.00000"/>
    <numFmt numFmtId="172" formatCode="0.000000"/>
    <numFmt numFmtId="173" formatCode="d/m/yy"/>
    <numFmt numFmtId="174" formatCode="0.0%"/>
    <numFmt numFmtId="175" formatCode="0.0000000"/>
    <numFmt numFmtId="176" formatCode="0.000%"/>
    <numFmt numFmtId="177" formatCode="dd/mm/yy"/>
    <numFmt numFmtId="178" formatCode="#,##0.0\ &quot;Kč&quot;;[Red]\-#,##0.0\ &quot;Kč&quot;"/>
    <numFmt numFmtId="179" formatCode="d/m/yy\ h:mm"/>
  </numFmts>
  <fonts count="5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2"/>
    </font>
    <font>
      <b/>
      <sz val="22"/>
      <name val="Arial CE"/>
      <family val="2"/>
    </font>
    <font>
      <sz val="9"/>
      <color indexed="10"/>
      <name val="Arial CE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name val="Century"/>
      <family val="1"/>
    </font>
    <font>
      <sz val="8"/>
      <name val="Arial Baltic"/>
      <family val="2"/>
    </font>
    <font>
      <b/>
      <sz val="8"/>
      <name val="Arial Baltic"/>
      <family val="2"/>
    </font>
    <font>
      <sz val="9"/>
      <name val="Arial Baltic"/>
      <family val="2"/>
    </font>
    <font>
      <sz val="7"/>
      <name val="Arial Narrow"/>
      <family val="2"/>
    </font>
    <font>
      <sz val="10"/>
      <name val="Arial Narrow"/>
      <family val="2"/>
    </font>
    <font>
      <b/>
      <sz val="20"/>
      <name val="Arial CE"/>
      <family val="2"/>
    </font>
    <font>
      <i/>
      <sz val="9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ntique Olive Compact"/>
      <family val="2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entury Gothic"/>
      <family val="2"/>
    </font>
    <font>
      <b/>
      <sz val="8"/>
      <color indexed="10"/>
      <name val="Century Gothic"/>
      <family val="2"/>
    </font>
    <font>
      <b/>
      <sz val="11"/>
      <color indexed="9"/>
      <name val="Arial CE"/>
      <family val="2"/>
    </font>
    <font>
      <sz val="7.5"/>
      <name val="Arial CE"/>
      <family val="2"/>
    </font>
    <font>
      <b/>
      <sz val="9"/>
      <color indexed="10"/>
      <name val="Arial CE"/>
      <family val="2"/>
    </font>
    <font>
      <sz val="8"/>
      <color indexed="9"/>
      <name val="Century Gothic"/>
      <family val="2"/>
    </font>
    <font>
      <b/>
      <sz val="10"/>
      <color indexed="10"/>
      <name val="Arial CE"/>
      <family val="2"/>
    </font>
    <font>
      <b/>
      <i/>
      <sz val="11"/>
      <color indexed="9"/>
      <name val="Century Gothic"/>
      <family val="2"/>
    </font>
    <font>
      <b/>
      <sz val="10"/>
      <color indexed="9"/>
      <name val="Arial CE"/>
      <family val="2"/>
    </font>
    <font>
      <b/>
      <sz val="8"/>
      <name val="Arial Greek"/>
      <family val="2"/>
    </font>
    <font>
      <sz val="9"/>
      <color indexed="9"/>
      <name val="Arial CE"/>
      <family val="0"/>
    </font>
    <font>
      <b/>
      <sz val="9"/>
      <name val="Arial Baltic"/>
      <family val="2"/>
    </font>
    <font>
      <u val="single"/>
      <sz val="9"/>
      <color indexed="12"/>
      <name val="Arial CE"/>
      <family val="2"/>
    </font>
    <font>
      <b/>
      <sz val="40"/>
      <color indexed="9"/>
      <name val="Century Gothic"/>
      <family val="2"/>
    </font>
    <font>
      <b/>
      <sz val="9"/>
      <color indexed="9"/>
      <name val="Arial CE"/>
      <family val="2"/>
    </font>
    <font>
      <sz val="8"/>
      <name val="Tahoma"/>
      <family val="2"/>
    </font>
    <font>
      <sz val="8"/>
      <color indexed="9"/>
      <name val="Arial CE"/>
      <family val="2"/>
    </font>
    <font>
      <b/>
      <sz val="22"/>
      <color indexed="21"/>
      <name val="Antique Olive Compact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1"/>
      <name val="Arial CE"/>
      <family val="2"/>
    </font>
    <font>
      <sz val="7"/>
      <name val="Arial"/>
      <family val="2"/>
    </font>
    <font>
      <sz val="9"/>
      <color indexed="10"/>
      <name val="Arial"/>
      <family val="2"/>
    </font>
    <font>
      <b/>
      <sz val="45"/>
      <name val="Arial"/>
      <family val="2"/>
    </font>
    <font>
      <sz val="45"/>
      <name val="Arial"/>
      <family val="2"/>
    </font>
    <font>
      <b/>
      <sz val="36"/>
      <name val="Arial"/>
      <family val="2"/>
    </font>
    <font>
      <sz val="3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6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10" fillId="2" borderId="0" xfId="0" applyFont="1" applyFill="1" applyAlignment="1" applyProtection="1">
      <alignment/>
      <protection hidden="1"/>
    </xf>
    <xf numFmtId="0" fontId="2" fillId="2" borderId="2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2" borderId="0" xfId="0" applyFont="1" applyFill="1" applyAlignment="1" applyProtection="1">
      <alignment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4" fillId="3" borderId="0" xfId="0" applyFont="1" applyFill="1" applyAlignment="1" applyProtection="1">
      <alignment vertical="center"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/>
      <protection hidden="1"/>
    </xf>
    <xf numFmtId="0" fontId="16" fillId="2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17" fillId="2" borderId="0" xfId="20" applyNumberFormat="1" applyFont="1" applyFill="1" applyAlignment="1">
      <alignment horizontal="right"/>
      <protection/>
    </xf>
    <xf numFmtId="0" fontId="21" fillId="2" borderId="0" xfId="0" applyFont="1" applyFill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1" fillId="3" borderId="10" xfId="0" applyFont="1" applyFill="1" applyBorder="1" applyAlignment="1">
      <alignment/>
    </xf>
    <xf numFmtId="0" fontId="2" fillId="2" borderId="0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9" fontId="2" fillId="3" borderId="0" xfId="0" applyNumberFormat="1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172" fontId="2" fillId="3" borderId="0" xfId="0" applyNumberFormat="1" applyFont="1" applyFill="1" applyAlignment="1" applyProtection="1">
      <alignment horizontal="center"/>
      <protection hidden="1"/>
    </xf>
    <xf numFmtId="172" fontId="4" fillId="3" borderId="0" xfId="0" applyNumberFormat="1" applyFont="1" applyFill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right"/>
      <protection hidden="1"/>
    </xf>
    <xf numFmtId="0" fontId="3" fillId="2" borderId="3" xfId="0" applyFont="1" applyFill="1" applyBorder="1" applyAlignment="1" applyProtection="1">
      <alignment horizontal="center"/>
      <protection locked="0"/>
    </xf>
    <xf numFmtId="0" fontId="25" fillId="4" borderId="0" xfId="0" applyFont="1" applyFill="1" applyAlignment="1" applyProtection="1">
      <alignment/>
      <protection hidden="1"/>
    </xf>
    <xf numFmtId="0" fontId="25" fillId="5" borderId="0" xfId="0" applyFont="1" applyFill="1" applyAlignment="1" applyProtection="1">
      <alignment/>
      <protection hidden="1"/>
    </xf>
    <xf numFmtId="0" fontId="26" fillId="5" borderId="0" xfId="0" applyFont="1" applyFill="1" applyAlignment="1" applyProtection="1">
      <alignment/>
      <protection hidden="1"/>
    </xf>
    <xf numFmtId="0" fontId="0" fillId="5" borderId="0" xfId="0" applyFont="1" applyFill="1" applyAlignment="1" applyProtection="1">
      <alignment/>
      <protection hidden="1"/>
    </xf>
    <xf numFmtId="0" fontId="30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32" fillId="4" borderId="0" xfId="0" applyFont="1" applyFill="1" applyAlignment="1" applyProtection="1">
      <alignment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4" fillId="3" borderId="0" xfId="0" applyFont="1" applyFill="1" applyAlignment="1">
      <alignment/>
    </xf>
    <xf numFmtId="0" fontId="1" fillId="5" borderId="10" xfId="0" applyFont="1" applyFill="1" applyBorder="1" applyAlignment="1">
      <alignment/>
    </xf>
    <xf numFmtId="0" fontId="1" fillId="5" borderId="3" xfId="0" applyFont="1" applyFill="1" applyBorder="1" applyAlignment="1" applyProtection="1">
      <alignment horizontal="center"/>
      <protection locked="0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9" fontId="2" fillId="2" borderId="0" xfId="0" applyNumberFormat="1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5" fillId="3" borderId="0" xfId="0" applyFont="1" applyFill="1" applyBorder="1" applyAlignment="1" applyProtection="1">
      <alignment/>
      <protection hidden="1"/>
    </xf>
    <xf numFmtId="0" fontId="35" fillId="2" borderId="0" xfId="0" applyFont="1" applyFill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0" fontId="36" fillId="3" borderId="0" xfId="0" applyFont="1" applyFill="1" applyAlignment="1" applyProtection="1">
      <alignment vertical="center"/>
      <protection hidden="1"/>
    </xf>
    <xf numFmtId="0" fontId="36" fillId="2" borderId="0" xfId="0" applyFont="1" applyFill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" fillId="2" borderId="0" xfId="0" applyNumberFormat="1" applyFont="1" applyFill="1" applyBorder="1" applyAlignment="1">
      <alignment horizontal="center" vertical="center"/>
    </xf>
    <xf numFmtId="3" fontId="36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14" fillId="3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3" borderId="3" xfId="0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3" fontId="3" fillId="6" borderId="3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/>
      <protection locked="0"/>
    </xf>
    <xf numFmtId="174" fontId="2" fillId="5" borderId="3" xfId="21" applyNumberFormat="1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  <protection hidden="1"/>
    </xf>
    <xf numFmtId="0" fontId="1" fillId="3" borderId="0" xfId="0" applyFont="1" applyFill="1" applyAlignment="1">
      <alignment/>
    </xf>
    <xf numFmtId="0" fontId="0" fillId="5" borderId="3" xfId="0" applyFill="1" applyBorder="1" applyAlignment="1">
      <alignment/>
    </xf>
    <xf numFmtId="0" fontId="3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/>
      <protection hidden="1"/>
    </xf>
    <xf numFmtId="0" fontId="2" fillId="5" borderId="11" xfId="0" applyFont="1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5" fillId="5" borderId="0" xfId="0" applyFont="1" applyFill="1" applyBorder="1" applyAlignment="1" applyProtection="1">
      <alignment vertical="center"/>
      <protection locked="0"/>
    </xf>
    <xf numFmtId="0" fontId="27" fillId="5" borderId="0" xfId="0" applyFont="1" applyFill="1" applyBorder="1" applyAlignment="1">
      <alignment vertical="center"/>
    </xf>
    <xf numFmtId="0" fontId="1" fillId="3" borderId="12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36" fillId="2" borderId="0" xfId="0" applyNumberFormat="1" applyFont="1" applyFill="1" applyBorder="1" applyAlignment="1" applyProtection="1">
      <alignment horizontal="center" vertical="center"/>
      <protection hidden="1"/>
    </xf>
    <xf numFmtId="0" fontId="38" fillId="4" borderId="0" xfId="0" applyFont="1" applyFill="1" applyAlignment="1" applyProtection="1">
      <alignment vertical="center"/>
      <protection hidden="1"/>
    </xf>
    <xf numFmtId="0" fontId="28" fillId="5" borderId="0" xfId="0" applyFont="1" applyFill="1" applyBorder="1" applyAlignment="1" applyProtection="1">
      <alignment/>
      <protection hidden="1"/>
    </xf>
    <xf numFmtId="0" fontId="39" fillId="4" borderId="3" xfId="0" applyFont="1" applyFill="1" applyBorder="1" applyAlignment="1" applyProtection="1">
      <alignment vertical="center"/>
      <protection hidden="1"/>
    </xf>
    <xf numFmtId="3" fontId="29" fillId="0" borderId="3" xfId="0" applyNumberFormat="1" applyFont="1" applyBorder="1" applyAlignment="1" applyProtection="1">
      <alignment horizontal="center" vertical="center"/>
      <protection locked="0"/>
    </xf>
    <xf numFmtId="3" fontId="5" fillId="5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3" xfId="0" applyFont="1" applyBorder="1" applyAlignment="1" applyProtection="1">
      <alignment horizontal="center" vertical="center"/>
      <protection locked="0"/>
    </xf>
    <xf numFmtId="0" fontId="25" fillId="5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0" fillId="5" borderId="0" xfId="0" applyFont="1" applyFill="1" applyAlignment="1" applyProtection="1">
      <alignment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25" fillId="8" borderId="0" xfId="0" applyFont="1" applyFill="1" applyAlignment="1" applyProtection="1">
      <alignment/>
      <protection hidden="1"/>
    </xf>
    <xf numFmtId="0" fontId="4" fillId="2" borderId="13" xfId="0" applyFont="1" applyFill="1" applyBorder="1" applyAlignment="1" applyProtection="1">
      <alignment/>
      <protection hidden="1"/>
    </xf>
    <xf numFmtId="3" fontId="2" fillId="2" borderId="3" xfId="0" applyNumberFormat="1" applyFont="1" applyFill="1" applyBorder="1" applyAlignment="1" applyProtection="1">
      <alignment horizontal="center"/>
      <protection hidden="1"/>
    </xf>
    <xf numFmtId="3" fontId="4" fillId="2" borderId="3" xfId="0" applyNumberFormat="1" applyFont="1" applyFill="1" applyBorder="1" applyAlignment="1" applyProtection="1">
      <alignment horizontal="center"/>
      <protection hidden="1"/>
    </xf>
    <xf numFmtId="9" fontId="29" fillId="0" borderId="3" xfId="0" applyNumberFormat="1" applyFont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Alignment="1" applyProtection="1">
      <alignment horizontal="center"/>
      <protection hidden="1"/>
    </xf>
    <xf numFmtId="0" fontId="10" fillId="2" borderId="15" xfId="0" applyFont="1" applyFill="1" applyBorder="1" applyAlignment="1" applyProtection="1">
      <alignment horizontal="center"/>
      <protection hidden="1"/>
    </xf>
    <xf numFmtId="0" fontId="4" fillId="2" borderId="16" xfId="0" applyFont="1" applyFill="1" applyBorder="1" applyAlignment="1" applyProtection="1">
      <alignment/>
      <protection hidden="1"/>
    </xf>
    <xf numFmtId="3" fontId="10" fillId="2" borderId="17" xfId="0" applyNumberFormat="1" applyFont="1" applyFill="1" applyBorder="1" applyAlignment="1" applyProtection="1">
      <alignment horizontal="center"/>
      <protection hidden="1"/>
    </xf>
    <xf numFmtId="0" fontId="4" fillId="2" borderId="18" xfId="0" applyFont="1" applyFill="1" applyBorder="1" applyAlignment="1" applyProtection="1">
      <alignment/>
      <protection hidden="1"/>
    </xf>
    <xf numFmtId="0" fontId="0" fillId="2" borderId="19" xfId="0" applyFont="1" applyFill="1" applyBorder="1" applyAlignment="1" applyProtection="1">
      <alignment/>
      <protection hidden="1"/>
    </xf>
    <xf numFmtId="3" fontId="4" fillId="2" borderId="20" xfId="0" applyNumberFormat="1" applyFont="1" applyFill="1" applyBorder="1" applyAlignment="1" applyProtection="1">
      <alignment horizontal="center"/>
      <protection hidden="1"/>
    </xf>
    <xf numFmtId="3" fontId="2" fillId="2" borderId="20" xfId="0" applyNumberFormat="1" applyFont="1" applyFill="1" applyBorder="1" applyAlignment="1" applyProtection="1">
      <alignment horizontal="center"/>
      <protection hidden="1"/>
    </xf>
    <xf numFmtId="3" fontId="10" fillId="2" borderId="21" xfId="0" applyNumberFormat="1" applyFont="1" applyFill="1" applyBorder="1" applyAlignment="1" applyProtection="1">
      <alignment horizontal="center"/>
      <protection hidden="1"/>
    </xf>
    <xf numFmtId="0" fontId="32" fillId="5" borderId="0" xfId="0" applyFont="1" applyFill="1" applyAlignment="1" applyProtection="1">
      <alignment/>
      <protection hidden="1"/>
    </xf>
    <xf numFmtId="0" fontId="41" fillId="4" borderId="11" xfId="0" applyFont="1" applyFill="1" applyBorder="1" applyAlignment="1" applyProtection="1">
      <alignment horizontal="center" vertical="center"/>
      <protection hidden="1"/>
    </xf>
    <xf numFmtId="3" fontId="41" fillId="4" borderId="13" xfId="0" applyNumberFormat="1" applyFont="1" applyFill="1" applyBorder="1" applyAlignment="1" applyProtection="1">
      <alignment horizontal="left" vertical="center"/>
      <protection hidden="1"/>
    </xf>
    <xf numFmtId="0" fontId="42" fillId="2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0" fillId="2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>
      <alignment/>
    </xf>
    <xf numFmtId="0" fontId="3" fillId="2" borderId="3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 horizontal="left"/>
      <protection/>
    </xf>
    <xf numFmtId="0" fontId="3" fillId="2" borderId="7" xfId="0" applyFont="1" applyFill="1" applyBorder="1" applyAlignment="1" applyProtection="1">
      <alignment/>
      <protection/>
    </xf>
    <xf numFmtId="0" fontId="3" fillId="3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3" fontId="5" fillId="2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45" fillId="2" borderId="0" xfId="0" applyFont="1" applyFill="1" applyAlignment="1" applyProtection="1">
      <alignment/>
      <protection hidden="1"/>
    </xf>
    <xf numFmtId="0" fontId="46" fillId="2" borderId="0" xfId="0" applyFont="1" applyFill="1" applyAlignment="1" applyProtection="1">
      <alignment/>
      <protection hidden="1"/>
    </xf>
    <xf numFmtId="0" fontId="47" fillId="2" borderId="0" xfId="0" applyFont="1" applyFill="1" applyAlignment="1" applyProtection="1">
      <alignment/>
      <protection hidden="1"/>
    </xf>
    <xf numFmtId="0" fontId="48" fillId="2" borderId="23" xfId="0" applyFont="1" applyFill="1" applyBorder="1" applyAlignment="1" applyProtection="1">
      <alignment horizontal="left" vertical="center"/>
      <protection hidden="1"/>
    </xf>
    <xf numFmtId="0" fontId="48" fillId="2" borderId="2" xfId="0" applyFont="1" applyFill="1" applyBorder="1" applyAlignment="1">
      <alignment horizontal="left" vertical="center"/>
    </xf>
    <xf numFmtId="3" fontId="48" fillId="2" borderId="24" xfId="0" applyNumberFormat="1" applyFont="1" applyFill="1" applyBorder="1" applyAlignment="1" applyProtection="1">
      <alignment horizontal="center" vertical="center"/>
      <protection hidden="1"/>
    </xf>
    <xf numFmtId="0" fontId="47" fillId="2" borderId="0" xfId="0" applyFont="1" applyFill="1" applyBorder="1" applyAlignment="1" applyProtection="1">
      <alignment/>
      <protection locked="0"/>
    </xf>
    <xf numFmtId="0" fontId="47" fillId="2" borderId="25" xfId="0" applyFont="1" applyFill="1" applyBorder="1" applyAlignment="1" applyProtection="1">
      <alignment horizontal="left" vertical="center"/>
      <protection hidden="1"/>
    </xf>
    <xf numFmtId="0" fontId="47" fillId="2" borderId="26" xfId="0" applyFont="1" applyFill="1" applyBorder="1" applyAlignment="1">
      <alignment/>
    </xf>
    <xf numFmtId="3" fontId="47" fillId="2" borderId="27" xfId="0" applyNumberFormat="1" applyFont="1" applyFill="1" applyBorder="1" applyAlignment="1" applyProtection="1">
      <alignment horizontal="center" vertical="center"/>
      <protection hidden="1"/>
    </xf>
    <xf numFmtId="0" fontId="49" fillId="2" borderId="0" xfId="0" applyFont="1" applyFill="1" applyBorder="1" applyAlignment="1" applyProtection="1">
      <alignment horizontal="left" vertical="center"/>
      <protection hidden="1"/>
    </xf>
    <xf numFmtId="3" fontId="49" fillId="2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3" xfId="0" applyFont="1" applyBorder="1" applyAlignment="1" applyProtection="1">
      <alignment horizontal="center" vertical="center"/>
      <protection hidden="1"/>
    </xf>
    <xf numFmtId="0" fontId="48" fillId="2" borderId="3" xfId="0" applyNumberFormat="1" applyFont="1" applyFill="1" applyBorder="1" applyAlignment="1" applyProtection="1">
      <alignment horizontal="center" vertical="center" wrapText="1"/>
      <protection hidden="1"/>
    </xf>
    <xf numFmtId="9" fontId="47" fillId="2" borderId="3" xfId="0" applyNumberFormat="1" applyFont="1" applyFill="1" applyBorder="1" applyAlignment="1" applyProtection="1">
      <alignment horizontal="center" vertical="center"/>
      <protection hidden="1"/>
    </xf>
    <xf numFmtId="3" fontId="47" fillId="2" borderId="3" xfId="0" applyNumberFormat="1" applyFont="1" applyFill="1" applyBorder="1" applyAlignment="1" applyProtection="1">
      <alignment horizontal="center" vertical="center"/>
      <protection hidden="1"/>
    </xf>
    <xf numFmtId="9" fontId="47" fillId="0" borderId="3" xfId="0" applyNumberFormat="1" applyFont="1" applyBorder="1" applyAlignment="1">
      <alignment horizontal="center" vertical="center"/>
    </xf>
    <xf numFmtId="0" fontId="47" fillId="2" borderId="0" xfId="0" applyNumberFormat="1" applyFont="1" applyFill="1" applyBorder="1" applyAlignment="1" applyProtection="1">
      <alignment horizontal="center" vertical="center"/>
      <protection hidden="1"/>
    </xf>
    <xf numFmtId="0" fontId="47" fillId="2" borderId="0" xfId="0" applyNumberFormat="1" applyFont="1" applyFill="1" applyBorder="1" applyAlignment="1">
      <alignment horizontal="center" vertical="center"/>
    </xf>
    <xf numFmtId="3" fontId="48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9" fontId="2" fillId="2" borderId="0" xfId="0" applyNumberFormat="1" applyFont="1" applyFill="1" applyBorder="1" applyAlignment="1" applyProtection="1">
      <alignment horizontal="center"/>
      <protection hidden="1"/>
    </xf>
    <xf numFmtId="172" fontId="2" fillId="2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/>
      <protection hidden="1"/>
    </xf>
    <xf numFmtId="172" fontId="4" fillId="2" borderId="0" xfId="0" applyNumberFormat="1" applyFont="1" applyFill="1" applyBorder="1" applyAlignment="1" applyProtection="1">
      <alignment horizontal="center"/>
      <protection hidden="1"/>
    </xf>
    <xf numFmtId="3" fontId="50" fillId="2" borderId="0" xfId="0" applyNumberFormat="1" applyFont="1" applyFill="1" applyAlignment="1">
      <alignment/>
    </xf>
    <xf numFmtId="0" fontId="4" fillId="2" borderId="0" xfId="0" applyNumberFormat="1" applyFont="1" applyFill="1" applyBorder="1" applyAlignment="1" applyProtection="1">
      <alignment horizontal="center"/>
      <protection hidden="1"/>
    </xf>
    <xf numFmtId="0" fontId="2" fillId="5" borderId="11" xfId="0" applyFont="1" applyFill="1" applyBorder="1" applyAlignment="1" applyProtection="1">
      <alignment/>
      <protection locked="0"/>
    </xf>
    <xf numFmtId="0" fontId="0" fillId="5" borderId="13" xfId="0" applyFill="1" applyBorder="1" applyAlignment="1">
      <alignment/>
    </xf>
    <xf numFmtId="0" fontId="51" fillId="2" borderId="0" xfId="0" applyFont="1" applyFill="1" applyAlignment="1" applyProtection="1">
      <alignment/>
      <protection hidden="1"/>
    </xf>
    <xf numFmtId="9" fontId="47" fillId="2" borderId="28" xfId="0" applyNumberFormat="1" applyFont="1" applyFill="1" applyBorder="1" applyAlignment="1" applyProtection="1">
      <alignment horizontal="center" vertical="center"/>
      <protection hidden="1"/>
    </xf>
    <xf numFmtId="3" fontId="47" fillId="2" borderId="29" xfId="0" applyNumberFormat="1" applyFont="1" applyFill="1" applyBorder="1" applyAlignment="1" applyProtection="1">
      <alignment horizontal="center" vertical="center"/>
      <protection hidden="1"/>
    </xf>
    <xf numFmtId="3" fontId="47" fillId="2" borderId="30" xfId="0" applyNumberFormat="1" applyFont="1" applyFill="1" applyBorder="1" applyAlignment="1" applyProtection="1">
      <alignment horizontal="center" vertical="center"/>
      <protection hidden="1"/>
    </xf>
    <xf numFmtId="9" fontId="47" fillId="0" borderId="31" xfId="0" applyNumberFormat="1" applyFont="1" applyBorder="1" applyAlignment="1">
      <alignment horizontal="center" vertical="center"/>
    </xf>
    <xf numFmtId="3" fontId="47" fillId="2" borderId="32" xfId="0" applyNumberFormat="1" applyFont="1" applyFill="1" applyBorder="1" applyAlignment="1" applyProtection="1">
      <alignment horizontal="center" vertical="center"/>
      <protection hidden="1"/>
    </xf>
    <xf numFmtId="3" fontId="47" fillId="2" borderId="33" xfId="0" applyNumberFormat="1" applyFont="1" applyFill="1" applyBorder="1" applyAlignment="1" applyProtection="1">
      <alignment horizontal="center" vertical="center"/>
      <protection hidden="1"/>
    </xf>
    <xf numFmtId="9" fontId="47" fillId="0" borderId="34" xfId="0" applyNumberFormat="1" applyFont="1" applyBorder="1" applyAlignment="1">
      <alignment horizontal="center" vertical="center"/>
    </xf>
    <xf numFmtId="3" fontId="47" fillId="2" borderId="35" xfId="0" applyNumberFormat="1" applyFont="1" applyFill="1" applyBorder="1" applyAlignment="1" applyProtection="1">
      <alignment horizontal="center" vertical="center"/>
      <protection hidden="1"/>
    </xf>
    <xf numFmtId="3" fontId="47" fillId="2" borderId="36" xfId="0" applyNumberFormat="1" applyFont="1" applyFill="1" applyBorder="1" applyAlignment="1" applyProtection="1">
      <alignment horizontal="center" vertical="center"/>
      <protection hidden="1"/>
    </xf>
    <xf numFmtId="9" fontId="47" fillId="2" borderId="34" xfId="0" applyNumberFormat="1" applyFont="1" applyFill="1" applyBorder="1" applyAlignment="1">
      <alignment horizontal="center" vertical="center"/>
    </xf>
    <xf numFmtId="0" fontId="45" fillId="3" borderId="0" xfId="0" applyFont="1" applyFill="1" applyAlignment="1" applyProtection="1">
      <alignment/>
      <protection hidden="1"/>
    </xf>
    <xf numFmtId="0" fontId="45" fillId="3" borderId="0" xfId="0" applyFont="1" applyFill="1" applyBorder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45" fillId="2" borderId="0" xfId="0" applyFont="1" applyFill="1" applyBorder="1" applyAlignment="1" applyProtection="1">
      <alignment/>
      <protection hidden="1"/>
    </xf>
    <xf numFmtId="0" fontId="48" fillId="2" borderId="0" xfId="0" applyFont="1" applyFill="1" applyAlignment="1" applyProtection="1">
      <alignment/>
      <protection hidden="1"/>
    </xf>
    <xf numFmtId="0" fontId="52" fillId="2" borderId="0" xfId="0" applyFont="1" applyFill="1" applyAlignment="1" applyProtection="1">
      <alignment/>
      <protection hidden="1"/>
    </xf>
    <xf numFmtId="0" fontId="45" fillId="2" borderId="1" xfId="0" applyFont="1" applyFill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8" fillId="2" borderId="2" xfId="0" applyFont="1" applyFill="1" applyBorder="1" applyAlignment="1" applyProtection="1">
      <alignment horizontal="left" vertical="center"/>
      <protection hidden="1"/>
    </xf>
    <xf numFmtId="0" fontId="47" fillId="2" borderId="26" xfId="0" applyFont="1" applyFill="1" applyBorder="1" applyAlignment="1" applyProtection="1">
      <alignment horizontal="left" vertical="center"/>
      <protection hidden="1"/>
    </xf>
    <xf numFmtId="3" fontId="2" fillId="2" borderId="29" xfId="0" applyNumberFormat="1" applyFont="1" applyFill="1" applyBorder="1" applyAlignment="1" applyProtection="1">
      <alignment horizontal="center" vertical="center"/>
      <protection hidden="1"/>
    </xf>
    <xf numFmtId="3" fontId="2" fillId="0" borderId="29" xfId="0" applyNumberFormat="1" applyFont="1" applyBorder="1" applyAlignment="1" applyProtection="1">
      <alignment horizontal="center" vertical="center"/>
      <protection hidden="1"/>
    </xf>
    <xf numFmtId="3" fontId="2" fillId="2" borderId="30" xfId="0" applyNumberFormat="1" applyFont="1" applyFill="1" applyBorder="1" applyAlignment="1" applyProtection="1">
      <alignment horizontal="center" vertical="center"/>
      <protection hidden="1"/>
    </xf>
    <xf numFmtId="3" fontId="2" fillId="2" borderId="32" xfId="0" applyNumberFormat="1" applyFont="1" applyFill="1" applyBorder="1" applyAlignment="1" applyProtection="1">
      <alignment horizontal="center" vertical="center"/>
      <protection hidden="1"/>
    </xf>
    <xf numFmtId="3" fontId="2" fillId="0" borderId="32" xfId="0" applyNumberFormat="1" applyFont="1" applyBorder="1" applyAlignment="1" applyProtection="1">
      <alignment horizontal="center" vertical="center"/>
      <protection hidden="1"/>
    </xf>
    <xf numFmtId="3" fontId="2" fillId="2" borderId="33" xfId="0" applyNumberFormat="1" applyFont="1" applyFill="1" applyBorder="1" applyAlignment="1" applyProtection="1">
      <alignment horizontal="center" vertical="center"/>
      <protection hidden="1"/>
    </xf>
    <xf numFmtId="3" fontId="2" fillId="2" borderId="35" xfId="0" applyNumberFormat="1" applyFont="1" applyFill="1" applyBorder="1" applyAlignment="1" applyProtection="1">
      <alignment horizontal="center" vertical="center"/>
      <protection hidden="1"/>
    </xf>
    <xf numFmtId="3" fontId="2" fillId="0" borderId="35" xfId="0" applyNumberFormat="1" applyFont="1" applyBorder="1" applyAlignment="1" applyProtection="1">
      <alignment horizontal="center" vertical="center"/>
      <protection hidden="1"/>
    </xf>
    <xf numFmtId="3" fontId="2" fillId="2" borderId="36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3" fontId="4" fillId="2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 locked="0"/>
    </xf>
    <xf numFmtId="0" fontId="2" fillId="3" borderId="0" xfId="0" applyFont="1" applyFill="1" applyBorder="1" applyAlignment="1" applyProtection="1">
      <alignment/>
      <protection hidden="1"/>
    </xf>
    <xf numFmtId="3" fontId="2" fillId="2" borderId="27" xfId="0" applyNumberFormat="1" applyFont="1" applyFill="1" applyBorder="1" applyAlignment="1" applyProtection="1">
      <alignment horizontal="center" vertical="center"/>
      <protection hidden="1"/>
    </xf>
    <xf numFmtId="8" fontId="2" fillId="2" borderId="0" xfId="0" applyNumberFormat="1" applyFont="1" applyFill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12" fillId="3" borderId="0" xfId="0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9" fontId="2" fillId="2" borderId="28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9" fontId="2" fillId="2" borderId="31" xfId="0" applyNumberFormat="1" applyFont="1" applyFill="1" applyBorder="1" applyAlignment="1" applyProtection="1">
      <alignment horizontal="center" vertical="center"/>
      <protection hidden="1"/>
    </xf>
    <xf numFmtId="9" fontId="2" fillId="2" borderId="34" xfId="0" applyNumberFormat="1" applyFont="1" applyFill="1" applyBorder="1" applyAlignment="1" applyProtection="1">
      <alignment horizontal="center" vertical="center"/>
      <protection hidden="1"/>
    </xf>
    <xf numFmtId="0" fontId="47" fillId="3" borderId="0" xfId="0" applyFont="1" applyFill="1" applyAlignment="1" applyProtection="1">
      <alignment vertical="center"/>
      <protection hidden="1"/>
    </xf>
    <xf numFmtId="0" fontId="47" fillId="2" borderId="0" xfId="0" applyFont="1" applyFill="1" applyAlignment="1" applyProtection="1">
      <alignment vertical="center"/>
      <protection hidden="1"/>
    </xf>
    <xf numFmtId="0" fontId="47" fillId="2" borderId="0" xfId="0" applyFont="1" applyFill="1" applyBorder="1" applyAlignment="1" applyProtection="1">
      <alignment vertical="center"/>
      <protection locked="0"/>
    </xf>
    <xf numFmtId="0" fontId="47" fillId="3" borderId="0" xfId="0" applyFont="1" applyFill="1" applyBorder="1" applyAlignment="1" applyProtection="1">
      <alignment vertical="center"/>
      <protection hidden="1"/>
    </xf>
    <xf numFmtId="0" fontId="47" fillId="2" borderId="0" xfId="0" applyFont="1" applyFill="1" applyBorder="1" applyAlignment="1" applyProtection="1">
      <alignment vertical="center"/>
      <protection hidden="1"/>
    </xf>
    <xf numFmtId="0" fontId="34" fillId="2" borderId="37" xfId="0" applyFont="1" applyFill="1" applyBorder="1" applyAlignment="1" applyProtection="1">
      <alignment horizontal="center" vertical="center"/>
      <protection hidden="1"/>
    </xf>
    <xf numFmtId="0" fontId="47" fillId="3" borderId="0" xfId="0" applyFont="1" applyFill="1" applyAlignment="1" applyProtection="1">
      <alignment/>
      <protection hidden="1"/>
    </xf>
    <xf numFmtId="0" fontId="47" fillId="2" borderId="0" xfId="0" applyFont="1" applyFill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48" fillId="2" borderId="24" xfId="0" applyNumberFormat="1" applyFont="1" applyFill="1" applyBorder="1" applyAlignment="1" applyProtection="1">
      <alignment horizontal="center" vertical="center"/>
      <protection locked="0"/>
    </xf>
    <xf numFmtId="0" fontId="35" fillId="3" borderId="0" xfId="0" applyFont="1" applyFill="1" applyBorder="1" applyAlignment="1" applyProtection="1">
      <alignment vertical="center"/>
      <protection hidden="1"/>
    </xf>
    <xf numFmtId="0" fontId="35" fillId="2" borderId="0" xfId="0" applyFont="1" applyFill="1" applyBorder="1" applyAlignment="1" applyProtection="1">
      <alignment vertical="center"/>
      <protection hidden="1"/>
    </xf>
    <xf numFmtId="0" fontId="35" fillId="0" borderId="0" xfId="0" applyFont="1" applyBorder="1" applyAlignment="1" applyProtection="1">
      <alignment vertical="center"/>
      <protection hidden="1"/>
    </xf>
    <xf numFmtId="0" fontId="34" fillId="2" borderId="8" xfId="0" applyFont="1" applyFill="1" applyBorder="1" applyAlignment="1" applyProtection="1">
      <alignment horizontal="center" vertical="center"/>
      <protection hidden="1"/>
    </xf>
    <xf numFmtId="3" fontId="12" fillId="2" borderId="29" xfId="0" applyNumberFormat="1" applyFont="1" applyFill="1" applyBorder="1" applyAlignment="1" applyProtection="1">
      <alignment horizontal="center" vertical="center"/>
      <protection hidden="1"/>
    </xf>
    <xf numFmtId="3" fontId="2" fillId="0" borderId="29" xfId="0" applyNumberFormat="1" applyFont="1" applyBorder="1" applyAlignment="1">
      <alignment horizontal="center" vertical="center"/>
    </xf>
    <xf numFmtId="3" fontId="12" fillId="2" borderId="32" xfId="0" applyNumberFormat="1" applyFont="1" applyFill="1" applyBorder="1" applyAlignment="1" applyProtection="1">
      <alignment horizontal="center" vertical="center"/>
      <protection hidden="1"/>
    </xf>
    <xf numFmtId="3" fontId="2" fillId="0" borderId="32" xfId="0" applyNumberFormat="1" applyFont="1" applyBorder="1" applyAlignment="1">
      <alignment horizontal="center" vertical="center"/>
    </xf>
    <xf numFmtId="3" fontId="12" fillId="2" borderId="35" xfId="0" applyNumberFormat="1" applyFont="1" applyFill="1" applyBorder="1" applyAlignment="1" applyProtection="1">
      <alignment horizontal="center" vertical="center"/>
      <protection hidden="1"/>
    </xf>
    <xf numFmtId="3" fontId="2" fillId="0" borderId="35" xfId="0" applyNumberFormat="1" applyFont="1" applyBorder="1" applyAlignment="1">
      <alignment horizontal="center" vertical="center"/>
    </xf>
    <xf numFmtId="0" fontId="36" fillId="2" borderId="0" xfId="0" applyFont="1" applyFill="1" applyAlignment="1" applyProtection="1">
      <alignment/>
      <protection hidden="1"/>
    </xf>
    <xf numFmtId="0" fontId="20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locked="0"/>
    </xf>
    <xf numFmtId="0" fontId="2" fillId="2" borderId="3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174" fontId="2" fillId="2" borderId="0" xfId="21" applyNumberFormat="1" applyFont="1" applyFill="1" applyBorder="1" applyAlignment="1" applyProtection="1">
      <alignment horizontal="center"/>
      <protection locked="0"/>
    </xf>
    <xf numFmtId="0" fontId="4" fillId="2" borderId="38" xfId="21" applyNumberFormat="1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174" fontId="4" fillId="2" borderId="0" xfId="21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/>
      <protection locked="0"/>
    </xf>
    <xf numFmtId="3" fontId="2" fillId="2" borderId="0" xfId="0" applyNumberFormat="1" applyFont="1" applyFill="1" applyAlignment="1" applyProtection="1">
      <alignment/>
      <protection locked="0"/>
    </xf>
    <xf numFmtId="4" fontId="2" fillId="2" borderId="0" xfId="0" applyNumberFormat="1" applyFont="1" applyFill="1" applyAlignment="1" applyProtection="1">
      <alignment horizontal="center"/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/>
      <protection locked="0"/>
    </xf>
    <xf numFmtId="1" fontId="4" fillId="2" borderId="0" xfId="0" applyNumberFormat="1" applyFont="1" applyFill="1" applyAlignment="1" applyProtection="1">
      <alignment horizontal="center"/>
      <protection locked="0"/>
    </xf>
    <xf numFmtId="10" fontId="2" fillId="2" borderId="0" xfId="21" applyNumberFormat="1" applyFont="1" applyFill="1" applyAlignment="1" applyProtection="1">
      <alignment horizontal="center"/>
      <protection locked="0"/>
    </xf>
    <xf numFmtId="174" fontId="2" fillId="2" borderId="0" xfId="21" applyNumberFormat="1" applyFont="1" applyFill="1" applyAlignment="1" applyProtection="1">
      <alignment horizontal="center"/>
      <protection locked="0"/>
    </xf>
    <xf numFmtId="174" fontId="4" fillId="2" borderId="38" xfId="21" applyNumberFormat="1" applyFont="1" applyFill="1" applyBorder="1" applyAlignment="1" applyProtection="1">
      <alignment horizontal="center"/>
      <protection locked="0"/>
    </xf>
    <xf numFmtId="0" fontId="2" fillId="2" borderId="0" xfId="21" applyNumberFormat="1" applyFont="1" applyFill="1" applyAlignment="1" applyProtection="1">
      <alignment horizontal="center"/>
      <protection locked="0"/>
    </xf>
    <xf numFmtId="3" fontId="2" fillId="2" borderId="0" xfId="0" applyNumberFormat="1" applyFont="1" applyFill="1" applyAlignment="1" applyProtection="1">
      <alignment horizontal="center"/>
      <protection locked="0"/>
    </xf>
    <xf numFmtId="3" fontId="29" fillId="5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/>
    </xf>
    <xf numFmtId="179" fontId="51" fillId="2" borderId="4" xfId="0" applyNumberFormat="1" applyFont="1" applyFill="1" applyBorder="1" applyAlignment="1" applyProtection="1">
      <alignment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39" fillId="2" borderId="3" xfId="0" applyFont="1" applyFill="1" applyBorder="1" applyAlignment="1" applyProtection="1">
      <alignment vertical="center"/>
      <protection locked="0"/>
    </xf>
    <xf numFmtId="0" fontId="0" fillId="2" borderId="3" xfId="0" applyFill="1" applyBorder="1" applyAlignment="1">
      <alignment/>
    </xf>
    <xf numFmtId="9" fontId="5" fillId="2" borderId="11" xfId="21" applyFont="1" applyFill="1" applyBorder="1" applyAlignment="1" applyProtection="1">
      <alignment horizontal="center" vertical="center"/>
      <protection locked="0"/>
    </xf>
    <xf numFmtId="9" fontId="0" fillId="2" borderId="13" xfId="21" applyFont="1" applyFill="1" applyBorder="1" applyAlignment="1" applyProtection="1">
      <alignment horizontal="center"/>
      <protection locked="0"/>
    </xf>
    <xf numFmtId="0" fontId="53" fillId="2" borderId="0" xfId="0" applyFont="1" applyFill="1" applyAlignment="1" applyProtection="1">
      <alignment horizontal="center"/>
      <protection hidden="1"/>
    </xf>
    <xf numFmtId="0" fontId="39" fillId="4" borderId="3" xfId="0" applyFont="1" applyFill="1" applyBorder="1" applyAlignment="1" applyProtection="1">
      <alignment vertical="center"/>
      <protection locked="0"/>
    </xf>
    <xf numFmtId="0" fontId="39" fillId="4" borderId="11" xfId="0" applyFont="1" applyFill="1" applyBorder="1" applyAlignment="1" applyProtection="1">
      <alignment vertical="center"/>
      <protection locked="0"/>
    </xf>
    <xf numFmtId="0" fontId="39" fillId="4" borderId="13" xfId="0" applyFont="1" applyFill="1" applyBorder="1" applyAlignment="1" applyProtection="1">
      <alignment vertical="center"/>
      <protection locked="0"/>
    </xf>
    <xf numFmtId="3" fontId="2" fillId="2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1" fontId="4" fillId="2" borderId="0" xfId="0" applyNumberFormat="1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0" fontId="3" fillId="7" borderId="3" xfId="17" applyFont="1" applyFill="1" applyBorder="1" applyAlignment="1" applyProtection="1">
      <alignment/>
      <protection locked="0"/>
    </xf>
    <xf numFmtId="0" fontId="3" fillId="7" borderId="3" xfId="0" applyFont="1" applyFill="1" applyBorder="1" applyAlignment="1" applyProtection="1">
      <alignment/>
      <protection locked="0"/>
    </xf>
    <xf numFmtId="3" fontId="3" fillId="7" borderId="11" xfId="0" applyNumberFormat="1" applyFont="1" applyFill="1" applyBorder="1" applyAlignment="1" applyProtection="1">
      <alignment horizontal="left"/>
      <protection locked="0"/>
    </xf>
    <xf numFmtId="0" fontId="3" fillId="7" borderId="13" xfId="0" applyFont="1" applyFill="1" applyBorder="1" applyAlignment="1" applyProtection="1">
      <alignment horizontal="left"/>
      <protection locked="0"/>
    </xf>
    <xf numFmtId="0" fontId="37" fillId="7" borderId="3" xfId="17" applyFont="1" applyFill="1" applyBorder="1" applyAlignment="1" applyProtection="1">
      <alignment/>
      <protection locked="0"/>
    </xf>
    <xf numFmtId="0" fontId="43" fillId="5" borderId="2" xfId="17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31" fillId="2" borderId="39" xfId="0" applyFont="1" applyFill="1" applyBorder="1" applyAlignment="1" applyProtection="1">
      <alignment/>
      <protection hidden="1"/>
    </xf>
    <xf numFmtId="0" fontId="31" fillId="2" borderId="40" xfId="0" applyFont="1" applyFill="1" applyBorder="1" applyAlignment="1" applyProtection="1">
      <alignment/>
      <protection hidden="1"/>
    </xf>
    <xf numFmtId="0" fontId="39" fillId="7" borderId="11" xfId="0" applyFont="1" applyFill="1" applyBorder="1" applyAlignment="1" applyProtection="1">
      <alignment vertical="center"/>
      <protection locked="0"/>
    </xf>
    <xf numFmtId="0" fontId="0" fillId="7" borderId="41" xfId="0" applyFill="1" applyBorder="1" applyAlignment="1" applyProtection="1">
      <alignment/>
      <protection locked="0"/>
    </xf>
    <xf numFmtId="0" fontId="0" fillId="7" borderId="13" xfId="0" applyFill="1" applyBorder="1" applyAlignment="1" applyProtection="1">
      <alignment/>
      <protection locked="0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4" fillId="2" borderId="11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vertical="center"/>
    </xf>
    <xf numFmtId="3" fontId="2" fillId="2" borderId="32" xfId="0" applyNumberFormat="1" applyFon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" fontId="2" fillId="2" borderId="35" xfId="0" applyNumberFormat="1" applyFont="1" applyFill="1" applyBorder="1" applyAlignment="1" applyProtection="1">
      <alignment horizontal="center" vertical="center"/>
      <protection hidden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4" fillId="0" borderId="10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>
      <alignment vertical="center"/>
    </xf>
    <xf numFmtId="0" fontId="34" fillId="2" borderId="23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2" fillId="2" borderId="29" xfId="0" applyNumberFormat="1" applyFont="1" applyFill="1" applyBorder="1" applyAlignment="1" applyProtection="1">
      <alignment horizontal="center" vertical="center"/>
      <protection hidden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8" fillId="2" borderId="23" xfId="0" applyFont="1" applyFill="1" applyBorder="1" applyAlignment="1" applyProtection="1">
      <alignment horizontal="left" vertical="center"/>
      <protection hidden="1"/>
    </xf>
    <xf numFmtId="0" fontId="0" fillId="0" borderId="2" xfId="0" applyBorder="1" applyAlignment="1">
      <alignment horizontal="left" vertical="center"/>
    </xf>
    <xf numFmtId="0" fontId="47" fillId="2" borderId="25" xfId="0" applyFont="1" applyFill="1" applyBorder="1" applyAlignment="1" applyProtection="1">
      <alignment horizontal="left" vertical="center"/>
      <protection hidden="1"/>
    </xf>
    <xf numFmtId="0" fontId="0" fillId="0" borderId="26" xfId="0" applyBorder="1" applyAlignment="1">
      <alignment horizontal="left" vertical="center"/>
    </xf>
    <xf numFmtId="0" fontId="55" fillId="2" borderId="0" xfId="0" applyFont="1" applyFill="1" applyAlignment="1" applyProtection="1">
      <alignment horizontal="center"/>
      <protection hidden="1"/>
    </xf>
    <xf numFmtId="0" fontId="56" fillId="0" borderId="0" xfId="0" applyFont="1" applyAlignment="1">
      <alignment/>
    </xf>
    <xf numFmtId="0" fontId="48" fillId="2" borderId="11" xfId="0" applyFont="1" applyFill="1" applyBorder="1" applyAlignment="1" applyProtection="1">
      <alignment horizontal="center" vertical="center"/>
      <protection hidden="1"/>
    </xf>
    <xf numFmtId="0" fontId="47" fillId="0" borderId="13" xfId="0" applyFont="1" applyBorder="1" applyAlignment="1">
      <alignment horizontal="center" vertical="center"/>
    </xf>
    <xf numFmtId="0" fontId="48" fillId="2" borderId="3" xfId="0" applyFont="1" applyFill="1" applyBorder="1" applyAlignment="1" applyProtection="1">
      <alignment horizontal="center" vertical="center"/>
      <protection hidden="1"/>
    </xf>
    <xf numFmtId="0" fontId="47" fillId="0" borderId="3" xfId="0" applyFont="1" applyBorder="1" applyAlignment="1">
      <alignment horizontal="center" vertical="center"/>
    </xf>
    <xf numFmtId="0" fontId="49" fillId="2" borderId="0" xfId="0" applyFont="1" applyFill="1" applyBorder="1" applyAlignment="1" applyProtection="1">
      <alignment horizontal="left" vertical="center"/>
      <protection hidden="1"/>
    </xf>
    <xf numFmtId="179" fontId="51" fillId="0" borderId="4" xfId="0" applyNumberFormat="1" applyFont="1" applyBorder="1" applyAlignment="1">
      <alignment/>
    </xf>
    <xf numFmtId="0" fontId="1" fillId="3" borderId="42" xfId="0" applyFont="1" applyFill="1" applyBorder="1" applyAlignment="1">
      <alignment textRotation="255"/>
    </xf>
    <xf numFmtId="0" fontId="1" fillId="3" borderId="5" xfId="0" applyFont="1" applyFill="1" applyBorder="1" applyAlignment="1">
      <alignment textRotation="255"/>
    </xf>
    <xf numFmtId="0" fontId="1" fillId="3" borderId="22" xfId="0" applyFont="1" applyFill="1" applyBorder="1" applyAlignment="1">
      <alignment textRotation="255"/>
    </xf>
    <xf numFmtId="0" fontId="1" fillId="3" borderId="6" xfId="0" applyFont="1" applyFill="1" applyBorder="1" applyAlignment="1">
      <alignment textRotation="255"/>
    </xf>
    <xf numFmtId="0" fontId="1" fillId="3" borderId="12" xfId="0" applyFont="1" applyFill="1" applyBorder="1" applyAlignment="1">
      <alignment textRotation="255"/>
    </xf>
    <xf numFmtId="0" fontId="1" fillId="3" borderId="7" xfId="0" applyFont="1" applyFill="1" applyBorder="1" applyAlignment="1">
      <alignment textRotation="255"/>
    </xf>
    <xf numFmtId="0" fontId="3" fillId="2" borderId="11" xfId="0" applyFont="1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" fillId="3" borderId="42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22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0" borderId="41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3" fontId="3" fillId="2" borderId="11" xfId="0" applyNumberFormat="1" applyFont="1" applyFill="1" applyBorder="1" applyAlignment="1" applyProtection="1">
      <alignment horizontal="center"/>
      <protection locked="0"/>
    </xf>
    <xf numFmtId="3" fontId="3" fillId="0" borderId="41" xfId="0" applyNumberFormat="1" applyFont="1" applyBorder="1" applyAlignment="1" applyProtection="1">
      <alignment horizontal="center"/>
      <protection locked="0"/>
    </xf>
    <xf numFmtId="3" fontId="3" fillId="0" borderId="13" xfId="0" applyNumberFormat="1" applyFont="1" applyBorder="1" applyAlignment="1" applyProtection="1">
      <alignment horizontal="center"/>
      <protection locked="0"/>
    </xf>
    <xf numFmtId="0" fontId="3" fillId="2" borderId="41" xfId="0" applyFont="1" applyFill="1" applyBorder="1" applyAlignment="1" applyProtection="1">
      <alignment horizontal="left"/>
      <protection locked="0"/>
    </xf>
    <xf numFmtId="0" fontId="0" fillId="2" borderId="41" xfId="0" applyFill="1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3" fontId="0" fillId="0" borderId="41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/>
      <protection locked="0"/>
    </xf>
    <xf numFmtId="14" fontId="3" fillId="2" borderId="11" xfId="0" applyNumberFormat="1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41" xfId="0" applyFont="1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3" fontId="5" fillId="2" borderId="11" xfId="0" applyNumberFormat="1" applyFont="1" applyFill="1" applyBorder="1" applyAlignment="1" applyProtection="1">
      <alignment horizontal="center"/>
      <protection locked="0"/>
    </xf>
    <xf numFmtId="3" fontId="5" fillId="2" borderId="41" xfId="0" applyNumberFormat="1" applyFont="1" applyFill="1" applyBorder="1" applyAlignment="1" applyProtection="1">
      <alignment horizontal="center"/>
      <protection locked="0"/>
    </xf>
    <xf numFmtId="3" fontId="1" fillId="2" borderId="41" xfId="0" applyNumberFormat="1" applyFont="1" applyFill="1" applyBorder="1" applyAlignment="1" applyProtection="1">
      <alignment horizontal="center"/>
      <protection locked="0"/>
    </xf>
    <xf numFmtId="3" fontId="1" fillId="2" borderId="13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49" fontId="3" fillId="0" borderId="11" xfId="0" applyNumberFormat="1" applyFont="1" applyBorder="1" applyAlignment="1" applyProtection="1">
      <alignment horizontal="left"/>
      <protection locked="0"/>
    </xf>
    <xf numFmtId="49" fontId="3" fillId="0" borderId="41" xfId="0" applyNumberFormat="1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0" fontId="1" fillId="2" borderId="41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3" fontId="3" fillId="2" borderId="11" xfId="0" applyNumberFormat="1" applyFont="1" applyFill="1" applyBorder="1" applyAlignment="1" applyProtection="1">
      <alignment horizontal="left"/>
      <protection locked="0"/>
    </xf>
    <xf numFmtId="3" fontId="0" fillId="2" borderId="41" xfId="0" applyNumberFormat="1" applyFill="1" applyBorder="1" applyAlignment="1" applyProtection="1">
      <alignment horizontal="left"/>
      <protection locked="0"/>
    </xf>
    <xf numFmtId="3" fontId="0" fillId="2" borderId="13" xfId="0" applyNumberFormat="1" applyFill="1" applyBorder="1" applyAlignment="1" applyProtection="1">
      <alignment horizontal="left"/>
      <protection locked="0"/>
    </xf>
    <xf numFmtId="0" fontId="37" fillId="2" borderId="11" xfId="17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8" fillId="2" borderId="0" xfId="20" applyNumberFormat="1" applyFont="1" applyFill="1" applyAlignment="1">
      <alignment horizontal="left"/>
      <protection/>
    </xf>
    <xf numFmtId="0" fontId="0" fillId="0" borderId="0" xfId="0" applyAlignment="1">
      <alignment/>
    </xf>
    <xf numFmtId="0" fontId="19" fillId="3" borderId="42" xfId="0" applyFont="1" applyFill="1" applyBorder="1" applyAlignment="1">
      <alignment horizontal="center" vertical="center" textRotation="90" wrapText="1"/>
    </xf>
    <xf numFmtId="0" fontId="19" fillId="3" borderId="5" xfId="0" applyFont="1" applyFill="1" applyBorder="1" applyAlignment="1">
      <alignment horizontal="center" vertical="center" textRotation="90" wrapText="1"/>
    </xf>
    <xf numFmtId="0" fontId="19" fillId="3" borderId="22" xfId="0" applyFont="1" applyFill="1" applyBorder="1" applyAlignment="1">
      <alignment horizontal="center" vertical="center" textRotation="90" wrapText="1"/>
    </xf>
    <xf numFmtId="0" fontId="19" fillId="3" borderId="6" xfId="0" applyFont="1" applyFill="1" applyBorder="1" applyAlignment="1">
      <alignment horizontal="center" vertical="center" textRotation="90" wrapText="1"/>
    </xf>
    <xf numFmtId="0" fontId="0" fillId="3" borderId="22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5" fillId="2" borderId="11" xfId="0" applyFont="1" applyFill="1" applyBorder="1" applyAlignment="1" applyProtection="1">
      <alignment/>
      <protection locked="0"/>
    </xf>
    <xf numFmtId="0" fontId="1" fillId="0" borderId="41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5" fillId="2" borderId="11" xfId="0" applyNumberFormat="1" applyFont="1" applyFill="1" applyBorder="1" applyAlignment="1" applyProtection="1">
      <alignment horizontal="left"/>
      <protection locked="0"/>
    </xf>
    <xf numFmtId="0" fontId="1" fillId="0" borderId="41" xfId="0" applyNumberFormat="1" applyFont="1" applyBorder="1" applyAlignment="1" applyProtection="1">
      <alignment horizontal="left"/>
      <protection locked="0"/>
    </xf>
    <xf numFmtId="0" fontId="1" fillId="0" borderId="13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formulář CC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808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99FF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CFF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0</xdr:row>
      <xdr:rowOff>0</xdr:rowOff>
    </xdr:from>
    <xdr:to>
      <xdr:col>9</xdr:col>
      <xdr:colOff>180975</xdr:colOff>
      <xdr:row>0</xdr:row>
      <xdr:rowOff>876300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0"/>
          <a:ext cx="1828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0</xdr:row>
      <xdr:rowOff>0</xdr:rowOff>
    </xdr:from>
    <xdr:to>
      <xdr:col>7</xdr:col>
      <xdr:colOff>95250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0"/>
          <a:ext cx="2143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1409700</xdr:colOff>
      <xdr:row>0</xdr:row>
      <xdr:rowOff>0</xdr:rowOff>
    </xdr:from>
    <xdr:to>
      <xdr:col>8</xdr:col>
      <xdr:colOff>47625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0"/>
          <a:ext cx="2057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1314450</xdr:colOff>
      <xdr:row>0</xdr:row>
      <xdr:rowOff>0</xdr:rowOff>
    </xdr:from>
    <xdr:to>
      <xdr:col>6</xdr:col>
      <xdr:colOff>152400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2152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uroleasing.cz" TargetMode="External" /><Relationship Id="rId2" Type="http://schemas.openxmlformats.org/officeDocument/2006/relationships/hyperlink" Target="http://www.euroleasing.cz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40"/>
  <sheetViews>
    <sheetView tabSelected="1" workbookViewId="0" topLeftCell="A1">
      <selection activeCell="C195" sqref="C195"/>
    </sheetView>
  </sheetViews>
  <sheetFormatPr defaultColWidth="9.00390625" defaultRowHeight="12.75"/>
  <cols>
    <col min="1" max="1" width="2.625" style="0" customWidth="1"/>
    <col min="2" max="2" width="25.00390625" style="0" customWidth="1"/>
    <col min="3" max="3" width="15.375" style="0" customWidth="1"/>
    <col min="4" max="4" width="4.75390625" style="0" customWidth="1"/>
    <col min="5" max="5" width="13.875" style="0" customWidth="1"/>
    <col min="6" max="6" width="5.75390625" style="0" customWidth="1"/>
    <col min="7" max="7" width="10.75390625" style="0" customWidth="1"/>
    <col min="8" max="8" width="8.75390625" style="0" customWidth="1"/>
    <col min="9" max="9" width="8.25390625" style="0" customWidth="1"/>
    <col min="10" max="10" width="3.25390625" style="2" customWidth="1"/>
    <col min="11" max="67" width="9.125" style="2" customWidth="1"/>
  </cols>
  <sheetData>
    <row r="1" spans="1:67" s="6" customFormat="1" ht="72.75" customHeight="1">
      <c r="A1" s="71"/>
      <c r="B1" s="125" t="s">
        <v>36</v>
      </c>
      <c r="C1" s="71"/>
      <c r="D1" s="71"/>
      <c r="E1" s="71"/>
      <c r="F1" s="71"/>
      <c r="G1" s="71"/>
      <c r="H1" s="71"/>
      <c r="I1" s="71"/>
      <c r="J1" s="118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</row>
    <row r="2" spans="1:67" s="6" customFormat="1" ht="20.25" customHeight="1">
      <c r="A2" s="71"/>
      <c r="B2" s="77" t="s">
        <v>138</v>
      </c>
      <c r="C2" s="71"/>
      <c r="D2" s="71"/>
      <c r="E2" s="71"/>
      <c r="F2" s="71"/>
      <c r="G2" s="71"/>
      <c r="H2" s="71"/>
      <c r="I2" s="71"/>
      <c r="J2" s="11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67" s="6" customFormat="1" ht="12.75" customHeight="1">
      <c r="A3" s="72"/>
      <c r="B3" s="150"/>
      <c r="C3" s="72"/>
      <c r="D3" s="72"/>
      <c r="E3" s="72"/>
      <c r="F3" s="72"/>
      <c r="G3" s="72"/>
      <c r="H3" s="72"/>
      <c r="I3" s="72"/>
      <c r="J3" s="11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s="6" customFormat="1" ht="15" customHeight="1">
      <c r="A4" s="72"/>
      <c r="B4" s="73">
        <f>IF(C5&lt;25000,"Minimální cena předmětu je 25.000 Kč !!!","")</f>
      </c>
      <c r="C4" s="72"/>
      <c r="D4" s="72"/>
      <c r="E4" s="72"/>
      <c r="F4" s="72"/>
      <c r="G4" s="72"/>
      <c r="H4" s="72"/>
      <c r="I4" s="72"/>
      <c r="J4" s="11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67" s="6" customFormat="1" ht="18" customHeight="1">
      <c r="A5" s="72"/>
      <c r="B5" s="127" t="s">
        <v>37</v>
      </c>
      <c r="C5" s="128">
        <v>150000</v>
      </c>
      <c r="D5" s="120"/>
      <c r="E5" s="312" t="s">
        <v>69</v>
      </c>
      <c r="F5" s="313"/>
      <c r="G5" s="329"/>
      <c r="H5" s="330"/>
      <c r="I5" s="331"/>
      <c r="J5" s="132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67" s="6" customFormat="1" ht="4.5" customHeight="1">
      <c r="A6" s="72"/>
      <c r="B6" s="78"/>
      <c r="C6" s="129"/>
      <c r="D6" s="133"/>
      <c r="E6" s="133"/>
      <c r="F6" s="133"/>
      <c r="G6" s="133"/>
      <c r="H6" s="133"/>
      <c r="I6" s="131"/>
      <c r="J6" s="13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s="6" customFormat="1" ht="18" customHeight="1">
      <c r="A7" s="72"/>
      <c r="B7" s="127" t="s">
        <v>61</v>
      </c>
      <c r="C7" s="139">
        <v>0.2</v>
      </c>
      <c r="D7" s="121"/>
      <c r="E7" s="311" t="s">
        <v>72</v>
      </c>
      <c r="F7" s="311"/>
      <c r="G7" s="311"/>
      <c r="H7" s="306"/>
      <c r="I7" s="307"/>
      <c r="J7" s="132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67" s="6" customFormat="1" ht="12.75" customHeight="1" hidden="1">
      <c r="A8" s="72"/>
      <c r="B8" s="78"/>
      <c r="C8" s="129"/>
      <c r="D8" s="134"/>
      <c r="E8" s="134"/>
      <c r="F8" s="134"/>
      <c r="G8" s="134"/>
      <c r="H8" s="134"/>
      <c r="I8" s="135"/>
      <c r="J8" s="13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</row>
    <row r="9" spans="1:67" s="6" customFormat="1" ht="15" customHeight="1" hidden="1">
      <c r="A9" s="72"/>
      <c r="B9" s="127" t="s">
        <v>47</v>
      </c>
      <c r="C9" s="130"/>
      <c r="D9" s="134"/>
      <c r="E9" s="134"/>
      <c r="F9" s="134"/>
      <c r="G9" s="134"/>
      <c r="H9" s="134"/>
      <c r="I9" s="135"/>
      <c r="J9" s="132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</row>
    <row r="10" spans="1:67" s="6" customFormat="1" ht="6" customHeight="1">
      <c r="A10" s="72"/>
      <c r="B10" s="78"/>
      <c r="C10" s="129"/>
      <c r="D10" s="134"/>
      <c r="E10" s="134"/>
      <c r="F10" s="134"/>
      <c r="G10" s="134"/>
      <c r="H10" s="134"/>
      <c r="I10" s="131"/>
      <c r="J10" s="13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</row>
    <row r="11" spans="1:67" s="6" customFormat="1" ht="17.25" customHeight="1">
      <c r="A11" s="72"/>
      <c r="B11" s="127" t="s">
        <v>47</v>
      </c>
      <c r="C11" s="130"/>
      <c r="D11" s="134"/>
      <c r="E11" s="311" t="s">
        <v>62</v>
      </c>
      <c r="F11" s="311"/>
      <c r="G11" s="311"/>
      <c r="H11" s="308">
        <f>C39/100</f>
        <v>0.3</v>
      </c>
      <c r="I11" s="309"/>
      <c r="J11" s="132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</row>
    <row r="12" spans="1:67" s="6" customFormat="1" ht="9" customHeight="1" thickBot="1">
      <c r="A12" s="72"/>
      <c r="B12" s="126"/>
      <c r="C12" s="302"/>
      <c r="D12" s="134"/>
      <c r="E12" s="134"/>
      <c r="F12" s="134"/>
      <c r="G12" s="134"/>
      <c r="H12" s="134"/>
      <c r="I12" s="131"/>
      <c r="J12" s="13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</row>
    <row r="13" spans="1:67" s="6" customFormat="1" ht="19.5" customHeight="1" thickTop="1">
      <c r="A13" s="72"/>
      <c r="B13" s="126"/>
      <c r="C13" s="302"/>
      <c r="D13" s="79"/>
      <c r="E13" s="327" t="s">
        <v>68</v>
      </c>
      <c r="F13" s="328"/>
      <c r="G13" s="140" t="s">
        <v>65</v>
      </c>
      <c r="H13" s="141" t="s">
        <v>66</v>
      </c>
      <c r="I13" s="142" t="s">
        <v>67</v>
      </c>
      <c r="J13" s="11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</row>
    <row r="14" spans="1:67" s="6" customFormat="1" ht="19.5" customHeight="1">
      <c r="A14" s="72"/>
      <c r="B14" s="151" t="str">
        <f>B206</f>
        <v>EUROLEASING 1/2010</v>
      </c>
      <c r="C14" s="152" t="str">
        <f>C206</f>
        <v>Platnost od 1. 1. 2010</v>
      </c>
      <c r="D14" s="79"/>
      <c r="E14" s="143" t="s">
        <v>63</v>
      </c>
      <c r="F14" s="136"/>
      <c r="G14" s="138">
        <f>IF($C$31=1,H14+I14,IF($C$31=2,C44,C44))</f>
        <v>54000</v>
      </c>
      <c r="H14" s="137">
        <f>IF($C$31=1,I14*C7,IF($C$31=2,C5*C7,D48))</f>
        <v>30000</v>
      </c>
      <c r="I14" s="144">
        <f>IF($C$31=1,C53,IF($C$31=2,G14-H14,G14-H14))</f>
        <v>24000</v>
      </c>
      <c r="J14" s="11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</row>
    <row r="15" spans="1:67" s="6" customFormat="1" ht="19.5" customHeight="1" thickBot="1">
      <c r="A15" s="72"/>
      <c r="B15" s="324" t="s">
        <v>123</v>
      </c>
      <c r="C15" s="325"/>
      <c r="D15" s="79"/>
      <c r="E15" s="145" t="s">
        <v>64</v>
      </c>
      <c r="F15" s="146"/>
      <c r="G15" s="147">
        <f>IF($C$31=1,H15+I15,IF($C$31=2,F57,C48))</f>
        <v>12165.460799773427</v>
      </c>
      <c r="H15" s="148">
        <f>IF($C$31=1,I15*C7,IF($C$31=2,0,0))</f>
        <v>0</v>
      </c>
      <c r="I15" s="149">
        <f>IF($C$31=1,F54,IF($C$31=2,0,0))</f>
        <v>0</v>
      </c>
      <c r="J15" s="119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</row>
    <row r="16" spans="1:67" s="6" customFormat="1" ht="24.75" customHeight="1" thickTop="1">
      <c r="A16" s="72"/>
      <c r="B16" s="326"/>
      <c r="C16" s="326"/>
      <c r="D16" s="74"/>
      <c r="E16" s="74"/>
      <c r="F16" s="74"/>
      <c r="G16" s="74"/>
      <c r="H16" s="74"/>
      <c r="I16" s="72"/>
      <c r="J16" s="11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</row>
    <row r="17" spans="1:67" s="6" customFormat="1" ht="15" customHeight="1">
      <c r="A17" s="71"/>
      <c r="B17" s="75"/>
      <c r="C17" s="71"/>
      <c r="D17" s="71"/>
      <c r="E17" s="76"/>
      <c r="F17" s="75"/>
      <c r="G17" s="75"/>
      <c r="H17" s="75"/>
      <c r="I17" s="71"/>
      <c r="J17" s="11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</row>
    <row r="18" spans="1:10" s="61" customFormat="1" ht="15" customHeight="1" hidden="1">
      <c r="A18" s="59"/>
      <c r="B18" s="114" t="s">
        <v>59</v>
      </c>
      <c r="C18" s="115"/>
      <c r="D18" s="1"/>
      <c r="E18" s="59"/>
      <c r="F18" s="59"/>
      <c r="G18" s="59"/>
      <c r="H18" s="59"/>
      <c r="I18" s="59"/>
      <c r="J18" s="59"/>
    </row>
    <row r="19" spans="1:10" s="61" customFormat="1" ht="15" customHeight="1" hidden="1">
      <c r="A19" s="59"/>
      <c r="B19" s="116" t="s">
        <v>60</v>
      </c>
      <c r="C19" s="320" t="s">
        <v>38</v>
      </c>
      <c r="D19" s="320"/>
      <c r="E19" s="59"/>
      <c r="F19" s="59"/>
      <c r="G19" s="59"/>
      <c r="H19" s="59"/>
      <c r="I19" s="59"/>
      <c r="J19" s="59"/>
    </row>
    <row r="20" spans="1:10" s="61" customFormat="1" ht="15" customHeight="1" hidden="1">
      <c r="A20" s="59"/>
      <c r="B20" s="116" t="s">
        <v>39</v>
      </c>
      <c r="C20" s="320" t="s">
        <v>40</v>
      </c>
      <c r="D20" s="320"/>
      <c r="E20" s="59"/>
      <c r="F20" s="59"/>
      <c r="G20" s="59"/>
      <c r="H20" s="59"/>
      <c r="I20" s="59"/>
      <c r="J20" s="59"/>
    </row>
    <row r="21" spans="1:10" s="61" customFormat="1" ht="15" customHeight="1" hidden="1">
      <c r="A21" s="59"/>
      <c r="B21" s="116" t="s">
        <v>41</v>
      </c>
      <c r="C21" s="321" t="s">
        <v>42</v>
      </c>
      <c r="D21" s="322"/>
      <c r="E21" s="59"/>
      <c r="F21" s="59"/>
      <c r="G21" s="59"/>
      <c r="H21" s="59"/>
      <c r="I21" s="59"/>
      <c r="J21" s="59"/>
    </row>
    <row r="22" spans="1:10" s="61" customFormat="1" ht="15" customHeight="1" hidden="1">
      <c r="A22" s="59"/>
      <c r="B22" s="116" t="s">
        <v>43</v>
      </c>
      <c r="C22" s="321" t="s">
        <v>44</v>
      </c>
      <c r="D22" s="322"/>
      <c r="E22" s="59"/>
      <c r="F22" s="59"/>
      <c r="G22" s="59"/>
      <c r="H22" s="59"/>
      <c r="I22" s="59"/>
      <c r="J22" s="59"/>
    </row>
    <row r="23" spans="1:10" s="61" customFormat="1" ht="15" customHeight="1" hidden="1">
      <c r="A23" s="59"/>
      <c r="B23" s="116" t="s">
        <v>45</v>
      </c>
      <c r="C23" s="323" t="s">
        <v>46</v>
      </c>
      <c r="D23" s="320"/>
      <c r="E23" s="59"/>
      <c r="F23" s="59"/>
      <c r="G23" s="59"/>
      <c r="H23" s="59"/>
      <c r="I23" s="59"/>
      <c r="J23" s="59"/>
    </row>
    <row r="24" spans="1:10" s="16" customFormat="1" ht="15" customHeight="1" hidden="1">
      <c r="A24" s="15"/>
      <c r="B24" s="116" t="s">
        <v>53</v>
      </c>
      <c r="C24" s="319" t="s">
        <v>54</v>
      </c>
      <c r="D24" s="320"/>
      <c r="E24" s="15"/>
      <c r="F24" s="15"/>
      <c r="G24" s="15"/>
      <c r="H24" s="15"/>
      <c r="I24" s="15"/>
      <c r="J24" s="15"/>
    </row>
    <row r="25" spans="1:10" s="16" customFormat="1" ht="15" customHeight="1" hidden="1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s="280" customFormat="1" ht="15" customHeight="1" hidden="1" thickBot="1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spans="1:10" s="280" customFormat="1" ht="15" customHeight="1" hidden="1" thickBot="1">
      <c r="A27" s="31"/>
      <c r="B27" s="31" t="s">
        <v>57</v>
      </c>
      <c r="C27" s="281">
        <v>1</v>
      </c>
      <c r="D27" s="31"/>
      <c r="E27" s="31"/>
      <c r="F27" s="31"/>
      <c r="G27" s="31"/>
      <c r="H27" s="31"/>
      <c r="I27" s="31"/>
      <c r="J27" s="31"/>
    </row>
    <row r="28" spans="1:10" s="280" customFormat="1" ht="15" customHeight="1" hidden="1">
      <c r="A28" s="31"/>
      <c r="B28" s="282" t="s">
        <v>70</v>
      </c>
      <c r="C28" s="283"/>
      <c r="D28" s="31"/>
      <c r="E28" s="31"/>
      <c r="F28" s="31"/>
      <c r="G28" s="31"/>
      <c r="H28" s="31"/>
      <c r="I28" s="31"/>
      <c r="J28" s="31"/>
    </row>
    <row r="29" spans="1:10" s="280" customFormat="1" ht="15" customHeight="1" hidden="1">
      <c r="A29" s="31"/>
      <c r="B29" s="282" t="s">
        <v>71</v>
      </c>
      <c r="C29" s="283"/>
      <c r="D29" s="31"/>
      <c r="E29" s="31"/>
      <c r="F29" s="31"/>
      <c r="G29" s="31"/>
      <c r="H29" s="31"/>
      <c r="I29" s="31"/>
      <c r="J29" s="31"/>
    </row>
    <row r="30" spans="1:10" s="280" customFormat="1" ht="15" customHeight="1" hidden="1" thickBot="1">
      <c r="A30" s="31"/>
      <c r="B30" s="284"/>
      <c r="C30" s="284"/>
      <c r="D30" s="31"/>
      <c r="E30" s="31"/>
      <c r="F30" s="31"/>
      <c r="G30" s="31"/>
      <c r="H30" s="31"/>
      <c r="I30" s="31"/>
      <c r="J30" s="31"/>
    </row>
    <row r="31" spans="1:10" s="280" customFormat="1" ht="15" customHeight="1" hidden="1" thickBot="1">
      <c r="A31" s="31"/>
      <c r="B31" s="282" t="s">
        <v>69</v>
      </c>
      <c r="C31" s="285">
        <v>2</v>
      </c>
      <c r="D31" s="31"/>
      <c r="E31" s="31"/>
      <c r="F31" s="31"/>
      <c r="G31" s="31"/>
      <c r="H31" s="31"/>
      <c r="I31" s="31"/>
      <c r="J31" s="31"/>
    </row>
    <row r="32" spans="1:10" s="280" customFormat="1" ht="15" customHeight="1" hidden="1" thickBot="1">
      <c r="A32" s="31"/>
      <c r="B32" s="31"/>
      <c r="C32" s="283"/>
      <c r="D32" s="31"/>
      <c r="E32" s="31"/>
      <c r="F32" s="31"/>
      <c r="G32" s="31"/>
      <c r="H32" s="31"/>
      <c r="I32" s="31"/>
      <c r="J32" s="31"/>
    </row>
    <row r="33" spans="1:10" s="280" customFormat="1" ht="15" customHeight="1" hidden="1" thickBot="1">
      <c r="A33" s="31"/>
      <c r="B33" s="31" t="s">
        <v>72</v>
      </c>
      <c r="C33" s="286">
        <v>5</v>
      </c>
      <c r="D33" s="31"/>
      <c r="E33" s="281">
        <f>IF(C33=1,60,IF(C33=2,48,IF(C33=3,36,IF(C33=4,24,IF(C33=5,12,0)))))</f>
        <v>12</v>
      </c>
      <c r="F33" s="31"/>
      <c r="G33" s="31"/>
      <c r="H33" s="31"/>
      <c r="I33" s="31"/>
      <c r="J33" s="31"/>
    </row>
    <row r="34" spans="1:10" s="280" customFormat="1" ht="15" customHeight="1" hidden="1">
      <c r="A34" s="31"/>
      <c r="B34" s="282" t="str">
        <f>IF(C31=3,"      3 měsíce","      60 měsíců")</f>
        <v>      60 měsíců</v>
      </c>
      <c r="C34" s="287"/>
      <c r="D34" s="31"/>
      <c r="E34" s="31"/>
      <c r="F34" s="31"/>
      <c r="G34" s="31"/>
      <c r="H34" s="31"/>
      <c r="I34" s="31"/>
      <c r="J34" s="31"/>
    </row>
    <row r="35" spans="1:10" s="280" customFormat="1" ht="15" customHeight="1" hidden="1">
      <c r="A35" s="31"/>
      <c r="B35" s="282" t="str">
        <f>IF(C31=3,"      4 měsíce","      48 měsíců")</f>
        <v>      48 měsíců</v>
      </c>
      <c r="C35" s="283"/>
      <c r="D35" s="31"/>
      <c r="E35" s="31"/>
      <c r="F35" s="31"/>
      <c r="G35" s="31"/>
      <c r="H35" s="31"/>
      <c r="I35" s="31"/>
      <c r="J35" s="31"/>
    </row>
    <row r="36" spans="1:10" s="280" customFormat="1" ht="15" customHeight="1" hidden="1">
      <c r="A36" s="31"/>
      <c r="B36" s="282" t="str">
        <f>IF(C31=3,"      5 měsíců","      36 měsíců")</f>
        <v>      36 měsíců</v>
      </c>
      <c r="C36" s="283"/>
      <c r="D36" s="31"/>
      <c r="E36" s="31"/>
      <c r="F36" s="31"/>
      <c r="G36" s="31"/>
      <c r="H36" s="31"/>
      <c r="I36" s="31"/>
      <c r="J36" s="31"/>
    </row>
    <row r="37" spans="1:10" s="291" customFormat="1" ht="15" customHeight="1" hidden="1">
      <c r="A37" s="288"/>
      <c r="B37" s="289" t="str">
        <f>IF(C31=3,"","      24 měsíců")</f>
        <v>      24 měsíců</v>
      </c>
      <c r="C37" s="290"/>
      <c r="D37" s="288"/>
      <c r="E37" s="288"/>
      <c r="F37" s="288"/>
      <c r="G37" s="288"/>
      <c r="H37" s="288"/>
      <c r="I37" s="288"/>
      <c r="J37" s="288"/>
    </row>
    <row r="38" spans="1:10" s="291" customFormat="1" ht="15" customHeight="1" hidden="1" thickBot="1">
      <c r="A38" s="288"/>
      <c r="B38" s="289" t="str">
        <f>IF(C31=3,"","      12 měsíců")</f>
        <v>      12 měsíců</v>
      </c>
      <c r="C38" s="290"/>
      <c r="D38" s="288"/>
      <c r="E38" s="288"/>
      <c r="F38" s="288"/>
      <c r="G38" s="288"/>
      <c r="H38" s="288"/>
      <c r="I38" s="288"/>
      <c r="J38" s="288"/>
    </row>
    <row r="39" spans="1:10" s="291" customFormat="1" ht="15" customHeight="1" hidden="1" thickBot="1">
      <c r="A39" s="288"/>
      <c r="B39" s="289" t="s">
        <v>62</v>
      </c>
      <c r="C39" s="281">
        <v>30</v>
      </c>
      <c r="D39" s="288"/>
      <c r="E39" s="288"/>
      <c r="F39" s="288"/>
      <c r="G39" s="288"/>
      <c r="H39" s="288"/>
      <c r="I39" s="288"/>
      <c r="J39" s="288"/>
    </row>
    <row r="40" spans="1:10" s="291" customFormat="1" ht="15" customHeight="1" hidden="1">
      <c r="A40" s="288"/>
      <c r="B40" s="288"/>
      <c r="C40" s="290"/>
      <c r="D40" s="288"/>
      <c r="E40" s="288"/>
      <c r="F40" s="288"/>
      <c r="G40" s="288"/>
      <c r="H40" s="288"/>
      <c r="I40" s="288"/>
      <c r="J40" s="288"/>
    </row>
    <row r="41" spans="1:10" s="291" customFormat="1" ht="15" customHeight="1" hidden="1">
      <c r="A41" s="288"/>
      <c r="B41" s="288" t="s">
        <v>75</v>
      </c>
      <c r="C41" s="290">
        <f>C5*(1+C7)</f>
        <v>180000</v>
      </c>
      <c r="D41" s="292"/>
      <c r="E41" s="293">
        <f>C7+1</f>
        <v>1.2</v>
      </c>
      <c r="F41" s="288"/>
      <c r="G41" s="288"/>
      <c r="H41" s="288"/>
      <c r="I41" s="288"/>
      <c r="J41" s="288"/>
    </row>
    <row r="42" spans="1:10" s="291" customFormat="1" ht="15" customHeight="1" hidden="1">
      <c r="A42" s="288"/>
      <c r="B42" s="288"/>
      <c r="C42" s="290"/>
      <c r="D42" s="288"/>
      <c r="E42" s="288"/>
      <c r="F42" s="288"/>
      <c r="G42" s="288"/>
      <c r="H42" s="288"/>
      <c r="I42" s="288"/>
      <c r="J42" s="288"/>
    </row>
    <row r="43" spans="1:10" s="291" customFormat="1" ht="15" customHeight="1" hidden="1">
      <c r="A43" s="288"/>
      <c r="B43" s="288" t="s">
        <v>80</v>
      </c>
      <c r="C43" s="290" t="s">
        <v>79</v>
      </c>
      <c r="D43" s="288" t="s">
        <v>66</v>
      </c>
      <c r="E43" s="288"/>
      <c r="F43" s="288"/>
      <c r="G43" s="288"/>
      <c r="H43" s="288"/>
      <c r="I43" s="288"/>
      <c r="J43" s="288"/>
    </row>
    <row r="44" spans="1:10" s="291" customFormat="1" ht="15" customHeight="1" hidden="1">
      <c r="A44" s="288"/>
      <c r="B44" s="288" t="s">
        <v>74</v>
      </c>
      <c r="C44" s="290">
        <f>C41*H11</f>
        <v>54000</v>
      </c>
      <c r="D44" s="288"/>
      <c r="E44" s="288"/>
      <c r="F44" s="288"/>
      <c r="G44" s="288"/>
      <c r="H44" s="288"/>
      <c r="I44" s="288"/>
      <c r="J44" s="288"/>
    </row>
    <row r="45" spans="1:10" s="291" customFormat="1" ht="15" customHeight="1" hidden="1">
      <c r="A45" s="288"/>
      <c r="B45" s="288" t="s">
        <v>76</v>
      </c>
      <c r="C45" s="290">
        <f>IF(C27=1,(((((C41-C44)*6%+6000)+C5)*E41)-C44)/3,(((((C41-C44)*7%+7000)+C5)*E41)-C44)/3)</f>
        <v>47424</v>
      </c>
      <c r="D45" s="315">
        <f>IF(C27=1,((C41-C44)*6%+6000+C5)*C7,((C41-C44)*7%+7000+C5)*C7)</f>
        <v>32712</v>
      </c>
      <c r="E45" s="315"/>
      <c r="F45" s="288"/>
      <c r="G45" s="288"/>
      <c r="H45" s="288"/>
      <c r="I45" s="288"/>
      <c r="J45" s="288"/>
    </row>
    <row r="46" spans="1:10" s="291" customFormat="1" ht="15" customHeight="1" hidden="1">
      <c r="A46" s="288"/>
      <c r="B46" s="288" t="s">
        <v>77</v>
      </c>
      <c r="C46" s="290">
        <f>IF(C27=1,(((((C41-C44)*8%+6000)+C5)*E41)-C44)/4,(((((C41-C44)*9%+7000)+C5)*E41)-C44)/4)</f>
        <v>36324</v>
      </c>
      <c r="D46" s="315">
        <f>IF(C27=1,((C41-C44)*8%+6000+C5)*C7,((C41-C44)*9%+7000+C5)*C7)</f>
        <v>33216</v>
      </c>
      <c r="E46" s="315"/>
      <c r="F46" s="288"/>
      <c r="G46" s="288"/>
      <c r="H46" s="288"/>
      <c r="I46" s="288"/>
      <c r="J46" s="288"/>
    </row>
    <row r="47" spans="1:10" s="291" customFormat="1" ht="15" customHeight="1" hidden="1">
      <c r="A47" s="288"/>
      <c r="B47" s="288" t="s">
        <v>78</v>
      </c>
      <c r="C47" s="294">
        <f>IF(C27=1,(((((C41-C44)*10%+6000)+C5)*E41)-C44)/5,(((((C41-C44)*11%+7000)+C5)*E41)-C44)/5)</f>
        <v>29664</v>
      </c>
      <c r="D47" s="315">
        <f>IF(C27=1,((C41-C44)*10%+6000+C5)*C7,((C41-C44)*11%+7000+C5)*C7)</f>
        <v>33720</v>
      </c>
      <c r="E47" s="315"/>
      <c r="F47" s="288"/>
      <c r="G47" s="288"/>
      <c r="H47" s="288"/>
      <c r="I47" s="288"/>
      <c r="J47" s="288"/>
    </row>
    <row r="48" spans="1:10" s="291" customFormat="1" ht="15" customHeight="1" hidden="1">
      <c r="A48" s="288"/>
      <c r="B48" s="295" t="s">
        <v>55</v>
      </c>
      <c r="C48" s="296">
        <f>IF($C$33=1,C45,IF($C$33=2,C46,C47))</f>
        <v>29664</v>
      </c>
      <c r="D48" s="316">
        <f>IF($C$33=1,D45,IF($C$33=2,D46,D47))</f>
        <v>33720</v>
      </c>
      <c r="E48" s="317"/>
      <c r="F48" s="288"/>
      <c r="G48" s="288"/>
      <c r="H48" s="288"/>
      <c r="I48" s="288"/>
      <c r="J48" s="288"/>
    </row>
    <row r="49" spans="1:10" s="291" customFormat="1" ht="15" customHeight="1" hidden="1">
      <c r="A49" s="288"/>
      <c r="B49" s="288"/>
      <c r="C49" s="288"/>
      <c r="D49" s="288"/>
      <c r="E49" s="288"/>
      <c r="F49" s="288"/>
      <c r="G49" s="288"/>
      <c r="H49" s="288"/>
      <c r="I49" s="288"/>
      <c r="J49" s="288"/>
    </row>
    <row r="50" spans="1:10" s="291" customFormat="1" ht="15" customHeight="1" hidden="1">
      <c r="A50" s="288"/>
      <c r="B50" s="295" t="s">
        <v>81</v>
      </c>
      <c r="C50" s="290" t="s">
        <v>30</v>
      </c>
      <c r="D50" s="288"/>
      <c r="E50" s="290" t="s">
        <v>83</v>
      </c>
      <c r="F50" s="288"/>
      <c r="G50" s="288"/>
      <c r="H50" s="288"/>
      <c r="I50" s="288"/>
      <c r="J50" s="288"/>
    </row>
    <row r="51" spans="1:10" s="291" customFormat="1" ht="15" customHeight="1" hidden="1" thickBot="1">
      <c r="A51" s="288"/>
      <c r="B51" s="288" t="s">
        <v>24</v>
      </c>
      <c r="C51" s="297">
        <f>IF($C$5&lt;250000,11.5%,IF($C$5&lt;500000,9.5%,IF($C$5&lt;1000000,9%,8%)))</f>
        <v>0.115</v>
      </c>
      <c r="D51" s="288"/>
      <c r="E51" s="298">
        <f>IF($C$5&lt;250000,17%,IF($C$5&lt;500000,13%,IF($C$5&lt;1000000,12%,11%)))</f>
        <v>0.17</v>
      </c>
      <c r="F51" s="288"/>
      <c r="G51" s="288"/>
      <c r="H51" s="288"/>
      <c r="I51" s="288"/>
      <c r="J51" s="288"/>
    </row>
    <row r="52" spans="1:10" s="291" customFormat="1" ht="15" customHeight="1" hidden="1" thickBot="1">
      <c r="A52" s="288"/>
      <c r="B52" s="288" t="s">
        <v>82</v>
      </c>
      <c r="C52" s="297">
        <f>IF($C$5&lt;250000,7%,IF($C$5&lt;500000,6.5%,IF($C$5&lt;1000000,6%,5.5%)))</f>
        <v>0.07</v>
      </c>
      <c r="D52" s="288"/>
      <c r="E52" s="297">
        <f>IF($C$5&lt;250000,6.5%,IF($C$5&lt;500000,5.5%,IF($C$5&lt;1000000,4.5%,3.5%)))</f>
        <v>0.065</v>
      </c>
      <c r="F52" s="297">
        <f>IF($C$5&lt;250000,4%,IF($C$5&lt;500000,3%,IF($C$5&lt;1000000,2.5%,2%)))</f>
        <v>0.04</v>
      </c>
      <c r="G52" s="299">
        <f>IF($C$200=1,C52,IF($C$200=2,E52,F52))</f>
        <v>0.07</v>
      </c>
      <c r="H52" s="288"/>
      <c r="I52" s="288"/>
      <c r="J52" s="288"/>
    </row>
    <row r="53" spans="1:10" s="291" customFormat="1" ht="15" customHeight="1" hidden="1">
      <c r="A53" s="288"/>
      <c r="B53" s="288" t="s">
        <v>56</v>
      </c>
      <c r="C53" s="300">
        <f>C5*H11</f>
        <v>45000</v>
      </c>
      <c r="D53" s="288"/>
      <c r="E53" s="288"/>
      <c r="F53" s="288"/>
      <c r="G53" s="288"/>
      <c r="H53" s="288"/>
      <c r="I53" s="288"/>
      <c r="J53" s="288"/>
    </row>
    <row r="54" spans="1:10" s="291" customFormat="1" ht="15" customHeight="1" hidden="1">
      <c r="A54" s="288"/>
      <c r="B54" s="288" t="s">
        <v>79</v>
      </c>
      <c r="C54" s="301">
        <f>PMT($C$51/12,E33,-((C5-C53)+(C5*G52)),,1)</f>
        <v>10137.883999811189</v>
      </c>
      <c r="D54" s="288"/>
      <c r="E54" s="301">
        <f>PMT($E$51/12,E33,-((C5-C53)+(C5*G52)),,1)</f>
        <v>10386.999702599065</v>
      </c>
      <c r="F54" s="318">
        <f>IF(C27=1,C54,E54)</f>
        <v>10137.883999811189</v>
      </c>
      <c r="G54" s="318"/>
      <c r="H54" s="288"/>
      <c r="I54" s="288"/>
      <c r="J54" s="288"/>
    </row>
    <row r="55" spans="1:10" s="291" customFormat="1" ht="15" customHeight="1" hidden="1">
      <c r="A55" s="288"/>
      <c r="B55" s="288"/>
      <c r="C55" s="288"/>
      <c r="D55" s="288"/>
      <c r="E55" s="288"/>
      <c r="F55" s="288"/>
      <c r="G55" s="288"/>
      <c r="H55" s="288"/>
      <c r="I55" s="288"/>
      <c r="J55" s="288"/>
    </row>
    <row r="56" spans="1:10" s="291" customFormat="1" ht="15" customHeight="1" hidden="1">
      <c r="A56" s="288"/>
      <c r="B56" s="288" t="s">
        <v>84</v>
      </c>
      <c r="C56" s="288"/>
      <c r="D56" s="288"/>
      <c r="E56" s="288"/>
      <c r="F56" s="288"/>
      <c r="G56" s="288"/>
      <c r="H56" s="288"/>
      <c r="I56" s="288"/>
      <c r="J56" s="288"/>
    </row>
    <row r="57" spans="1:10" s="291" customFormat="1" ht="15" customHeight="1" hidden="1">
      <c r="A57" s="288"/>
      <c r="B57" s="288" t="s">
        <v>79</v>
      </c>
      <c r="C57" s="301">
        <f>PMT($C$51/12,E33,-((C41-C44)+(C41*G52)),,1)</f>
        <v>12165.460799773427</v>
      </c>
      <c r="D57" s="288"/>
      <c r="E57" s="301">
        <f>(PMT(15%/12,E33,-(C41-C44),,1))+(PMT(20%/12,E33,-(C5*G52),,1))</f>
        <v>12188.862564403591</v>
      </c>
      <c r="F57" s="314">
        <f>IF(C27=1,C57,E57)</f>
        <v>12165.460799773427</v>
      </c>
      <c r="G57" s="314"/>
      <c r="H57" s="288"/>
      <c r="I57" s="288"/>
      <c r="J57" s="288"/>
    </row>
    <row r="58" spans="1:10" s="291" customFormat="1" ht="15" customHeight="1" hidden="1">
      <c r="A58" s="288"/>
      <c r="B58" s="288"/>
      <c r="C58" s="288"/>
      <c r="D58" s="288"/>
      <c r="E58" s="288"/>
      <c r="F58" s="288"/>
      <c r="G58" s="288"/>
      <c r="H58" s="288"/>
      <c r="I58" s="288"/>
      <c r="J58" s="288"/>
    </row>
    <row r="59" spans="1:10" s="291" customFormat="1" ht="15" customHeight="1" hidden="1">
      <c r="A59" s="288"/>
      <c r="B59" s="288"/>
      <c r="C59" s="288"/>
      <c r="D59" s="288"/>
      <c r="E59" s="288"/>
      <c r="F59" s="288"/>
      <c r="G59" s="288"/>
      <c r="H59" s="288"/>
      <c r="I59" s="288"/>
      <c r="J59" s="288"/>
    </row>
    <row r="60" spans="1:10" s="291" customFormat="1" ht="15" customHeight="1" hidden="1">
      <c r="A60" s="288"/>
      <c r="B60" s="288"/>
      <c r="C60" s="288"/>
      <c r="D60" s="288"/>
      <c r="E60" s="288"/>
      <c r="F60" s="288"/>
      <c r="G60" s="288"/>
      <c r="H60" s="288"/>
      <c r="I60" s="288"/>
      <c r="J60" s="288"/>
    </row>
    <row r="61" spans="1:10" s="291" customFormat="1" ht="15" customHeight="1" hidden="1">
      <c r="A61" s="288"/>
      <c r="B61" s="288"/>
      <c r="C61" s="288"/>
      <c r="D61" s="288"/>
      <c r="E61" s="288"/>
      <c r="F61" s="288"/>
      <c r="G61" s="288"/>
      <c r="H61" s="288"/>
      <c r="I61" s="288"/>
      <c r="J61" s="288"/>
    </row>
    <row r="62" spans="1:10" s="61" customFormat="1" ht="15" customHeight="1" hidden="1">
      <c r="A62" s="59"/>
      <c r="B62" s="59"/>
      <c r="C62" s="59"/>
      <c r="D62" s="59"/>
      <c r="E62" s="59"/>
      <c r="F62" s="59"/>
      <c r="G62" s="59"/>
      <c r="H62" s="59"/>
      <c r="I62" s="59"/>
      <c r="J62" s="59"/>
    </row>
    <row r="63" s="61" customFormat="1" ht="15" customHeight="1"/>
    <row r="64" s="61" customFormat="1" ht="15.75" customHeight="1"/>
    <row r="65" s="61" customFormat="1" ht="15.75" customHeight="1"/>
    <row r="66" s="61" customFormat="1" ht="15.75" customHeight="1"/>
    <row r="67" s="61" customFormat="1" ht="15.75" customHeight="1"/>
    <row r="68" s="61" customFormat="1" ht="15.75" customHeight="1"/>
    <row r="69" s="61" customFormat="1" ht="15.75" customHeight="1"/>
    <row r="70" s="61" customFormat="1" ht="15.75" customHeight="1"/>
    <row r="71" s="61" customFormat="1" ht="15.75" customHeight="1"/>
    <row r="72" s="61" customFormat="1" ht="15.75" customHeight="1"/>
    <row r="73" s="61" customFormat="1" ht="15.75" customHeight="1"/>
    <row r="74" s="61" customFormat="1" ht="15.75" customHeight="1"/>
    <row r="75" s="61" customFormat="1" ht="15.75" customHeight="1"/>
    <row r="76" s="61" customFormat="1" ht="15.75" customHeight="1"/>
    <row r="77" s="61" customFormat="1" ht="15.75" customHeight="1"/>
    <row r="78" s="61" customFormat="1" ht="15.75" customHeight="1"/>
    <row r="79" s="61" customFormat="1" ht="15.75" customHeight="1"/>
    <row r="80" s="61" customFormat="1" ht="15.75" customHeight="1"/>
    <row r="81" s="61" customFormat="1" ht="15.75" customHeight="1"/>
    <row r="82" s="61" customFormat="1" ht="15.75" customHeight="1"/>
    <row r="83" s="61" customFormat="1" ht="15.75" customHeight="1"/>
    <row r="84" s="61" customFormat="1" ht="15.75" customHeight="1"/>
    <row r="85" s="61" customFormat="1" ht="15.75" customHeight="1"/>
    <row r="86" s="61" customFormat="1" ht="15.75" customHeight="1"/>
    <row r="87" s="61" customFormat="1" ht="15.75" customHeight="1"/>
    <row r="88" s="61" customFormat="1" ht="15.75" customHeight="1"/>
    <row r="89" s="61" customFormat="1" ht="15.75" customHeight="1"/>
    <row r="90" s="61" customFormat="1" ht="15.75" customHeight="1"/>
    <row r="91" s="61" customFormat="1" ht="15.75" customHeight="1"/>
    <row r="92" s="61" customFormat="1" ht="15.75" customHeight="1"/>
    <row r="93" s="61" customFormat="1" ht="15.75" customHeight="1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pans="68:70" s="2" customFormat="1" ht="12.75">
      <c r="BP186"/>
      <c r="BQ186"/>
      <c r="BR186"/>
    </row>
    <row r="187" spans="68:70" s="2" customFormat="1" ht="12.75">
      <c r="BP187"/>
      <c r="BQ187"/>
      <c r="BR187"/>
    </row>
    <row r="188" spans="68:70" s="2" customFormat="1" ht="12.75">
      <c r="BP188"/>
      <c r="BQ188"/>
      <c r="BR188"/>
    </row>
    <row r="189" spans="68:70" s="2" customFormat="1" ht="12.75">
      <c r="BP189"/>
      <c r="BQ189"/>
      <c r="BR189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81" t="s">
        <v>29</v>
      </c>
      <c r="C195" s="82">
        <v>2</v>
      </c>
      <c r="D195" s="2"/>
      <c r="E195" s="2"/>
      <c r="F195" s="2"/>
      <c r="G195" s="2"/>
      <c r="H195" s="2"/>
      <c r="I195" s="2"/>
    </row>
    <row r="196" spans="1:9" ht="12.75">
      <c r="A196" s="2"/>
      <c r="B196" s="83" t="s">
        <v>22</v>
      </c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83" t="s">
        <v>23</v>
      </c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84" t="s">
        <v>52</v>
      </c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81" t="s">
        <v>25</v>
      </c>
      <c r="C200" s="82">
        <v>1</v>
      </c>
      <c r="D200" s="2"/>
      <c r="E200" s="2"/>
      <c r="F200" s="2"/>
      <c r="G200" s="2"/>
      <c r="H200" s="2"/>
      <c r="I200" s="2"/>
    </row>
    <row r="201" spans="1:9" ht="12.75">
      <c r="A201" s="2"/>
      <c r="B201" s="83" t="s">
        <v>26</v>
      </c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83" t="s">
        <v>27</v>
      </c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84" t="s">
        <v>28</v>
      </c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80" t="s">
        <v>33</v>
      </c>
      <c r="C205" s="80" t="s">
        <v>34</v>
      </c>
      <c r="D205" s="2"/>
      <c r="E205" s="2"/>
      <c r="F205" s="2"/>
      <c r="G205" s="2"/>
      <c r="H205" s="2"/>
      <c r="I205" s="2"/>
    </row>
    <row r="206" spans="1:9" ht="12.75">
      <c r="A206" s="2"/>
      <c r="B206" s="201" t="s">
        <v>73</v>
      </c>
      <c r="C206" s="117" t="s">
        <v>130</v>
      </c>
      <c r="D206" s="20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 hidden="1">
      <c r="A208" s="2"/>
      <c r="B208" s="112" t="s">
        <v>58</v>
      </c>
      <c r="C208" s="2"/>
      <c r="D208" s="2"/>
      <c r="E208" s="2"/>
      <c r="F208" s="2"/>
      <c r="G208" s="2"/>
      <c r="H208" s="2"/>
      <c r="I208" s="2"/>
    </row>
    <row r="209" spans="1:9" ht="12.75" hidden="1">
      <c r="A209" s="2"/>
      <c r="B209" s="113" t="s">
        <v>30</v>
      </c>
      <c r="C209" s="110">
        <f>IF(C5&lt;250000,3.5%,IF(C5&lt;500000,3%,IF(C5&lt;1000000,2.5%,2%)))</f>
        <v>0.035</v>
      </c>
      <c r="D209" s="2"/>
      <c r="E209" s="2"/>
      <c r="F209" s="2"/>
      <c r="G209" s="2"/>
      <c r="H209" s="2"/>
      <c r="I209" s="2"/>
    </row>
    <row r="210" spans="1:9" ht="12.75" hidden="1">
      <c r="A210" s="2"/>
      <c r="B210" s="113" t="s">
        <v>31</v>
      </c>
      <c r="C210" s="110">
        <f>IF(C5&lt;250000,2%,IF(C5&lt;500000,1.5%,IF(C5&lt;1000000,1%,1%)))</f>
        <v>0.02</v>
      </c>
      <c r="D210" s="2"/>
      <c r="E210" s="2"/>
      <c r="F210" s="2"/>
      <c r="G210" s="2"/>
      <c r="H210" s="2"/>
      <c r="I210" s="2"/>
    </row>
    <row r="211" spans="1:9" ht="12.75" hidden="1">
      <c r="A211" s="2"/>
      <c r="B211" s="113" t="s">
        <v>32</v>
      </c>
      <c r="C211" s="110">
        <v>0</v>
      </c>
      <c r="D211" s="2"/>
      <c r="E211" s="2"/>
      <c r="F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B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B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B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B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B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B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B996" s="2"/>
      <c r="C996" s="2"/>
      <c r="D996" s="2"/>
      <c r="E996" s="2"/>
      <c r="F996" s="2"/>
      <c r="G996" s="2"/>
      <c r="H996" s="2"/>
      <c r="I996" s="2"/>
    </row>
    <row r="997" spans="1:9" ht="12.75">
      <c r="A997" s="2"/>
      <c r="B997" s="2"/>
      <c r="C997" s="2"/>
      <c r="D997" s="2"/>
      <c r="E997" s="2"/>
      <c r="F997" s="2"/>
      <c r="G997" s="2"/>
      <c r="H997" s="2"/>
      <c r="I997" s="2"/>
    </row>
    <row r="998" spans="1:9" ht="12.75">
      <c r="A998" s="2"/>
      <c r="B998" s="2"/>
      <c r="C998" s="2"/>
      <c r="D998" s="2"/>
      <c r="E998" s="2"/>
      <c r="F998" s="2"/>
      <c r="G998" s="2"/>
      <c r="H998" s="2"/>
      <c r="I998" s="2"/>
    </row>
    <row r="999" spans="1:9" ht="12.75">
      <c r="A999" s="2"/>
      <c r="B999" s="2"/>
      <c r="C999" s="2"/>
      <c r="D999" s="2"/>
      <c r="E999" s="2"/>
      <c r="F999" s="2"/>
      <c r="G999" s="2"/>
      <c r="H999" s="2"/>
      <c r="I999" s="2"/>
    </row>
    <row r="1000" spans="1:9" ht="12.75">
      <c r="A1000" s="2"/>
      <c r="B1000" s="2"/>
      <c r="C1000" s="2"/>
      <c r="D1000" s="2"/>
      <c r="E1000" s="2"/>
      <c r="F1000" s="2"/>
      <c r="G1000" s="2"/>
      <c r="H1000" s="2"/>
      <c r="I1000" s="2"/>
    </row>
    <row r="1001" spans="1:9" ht="12.75">
      <c r="A1001" s="2"/>
      <c r="B1001" s="2"/>
      <c r="C1001" s="2"/>
      <c r="D1001" s="2"/>
      <c r="E1001" s="2"/>
      <c r="F1001" s="2"/>
      <c r="G1001" s="2"/>
      <c r="H1001" s="2"/>
      <c r="I1001" s="2"/>
    </row>
    <row r="1002" spans="1:9" ht="12.75">
      <c r="A1002" s="2"/>
      <c r="B1002" s="2"/>
      <c r="C1002" s="2"/>
      <c r="D1002" s="2"/>
      <c r="E1002" s="2"/>
      <c r="F1002" s="2"/>
      <c r="G1002" s="2"/>
      <c r="H1002" s="2"/>
      <c r="I1002" s="2"/>
    </row>
    <row r="1003" spans="1:9" ht="12.75">
      <c r="A1003" s="2"/>
      <c r="B1003" s="2"/>
      <c r="C1003" s="2"/>
      <c r="D1003" s="2"/>
      <c r="E1003" s="2"/>
      <c r="F1003" s="2"/>
      <c r="G1003" s="2"/>
      <c r="H1003" s="2"/>
      <c r="I1003" s="2"/>
    </row>
    <row r="1004" spans="1:9" ht="12.75">
      <c r="A1004" s="2"/>
      <c r="B1004" s="2"/>
      <c r="C1004" s="2"/>
      <c r="D1004" s="2"/>
      <c r="E1004" s="2"/>
      <c r="F1004" s="2"/>
      <c r="G1004" s="2"/>
      <c r="H1004" s="2"/>
      <c r="I1004" s="2"/>
    </row>
    <row r="1005" spans="1:9" ht="12.75">
      <c r="A1005" s="2"/>
      <c r="B1005" s="2"/>
      <c r="C1005" s="2"/>
      <c r="D1005" s="2"/>
      <c r="E1005" s="2"/>
      <c r="F1005" s="2"/>
      <c r="G1005" s="2"/>
      <c r="H1005" s="2"/>
      <c r="I1005" s="2"/>
    </row>
    <row r="1006" spans="1:9" ht="12.75">
      <c r="A1006" s="2"/>
      <c r="B1006" s="2"/>
      <c r="C1006" s="2"/>
      <c r="D1006" s="2"/>
      <c r="E1006" s="2"/>
      <c r="F1006" s="2"/>
      <c r="G1006" s="2"/>
      <c r="H1006" s="2"/>
      <c r="I1006" s="2"/>
    </row>
    <row r="1007" spans="1:9" ht="12.75">
      <c r="A1007" s="2"/>
      <c r="B1007" s="2"/>
      <c r="C1007" s="2"/>
      <c r="D1007" s="2"/>
      <c r="E1007" s="2"/>
      <c r="F1007" s="2"/>
      <c r="G1007" s="2"/>
      <c r="H1007" s="2"/>
      <c r="I1007" s="2"/>
    </row>
    <row r="1008" spans="1:9" ht="12.75">
      <c r="A1008" s="2"/>
      <c r="B1008" s="2"/>
      <c r="C1008" s="2"/>
      <c r="D1008" s="2"/>
      <c r="E1008" s="2"/>
      <c r="F1008" s="2"/>
      <c r="G1008" s="2"/>
      <c r="H1008" s="2"/>
      <c r="I1008" s="2"/>
    </row>
    <row r="1009" spans="1:9" ht="12.75">
      <c r="A1009" s="2"/>
      <c r="B1009" s="2"/>
      <c r="C1009" s="2"/>
      <c r="D1009" s="2"/>
      <c r="E1009" s="2"/>
      <c r="F1009" s="2"/>
      <c r="G1009" s="2"/>
      <c r="H1009" s="2"/>
      <c r="I1009" s="2"/>
    </row>
    <row r="1010" spans="1:9" ht="12.75">
      <c r="A1010" s="2"/>
      <c r="B1010" s="2"/>
      <c r="C1010" s="2"/>
      <c r="D1010" s="2"/>
      <c r="E1010" s="2"/>
      <c r="F1010" s="2"/>
      <c r="G1010" s="2"/>
      <c r="H1010" s="2"/>
      <c r="I1010" s="2"/>
    </row>
    <row r="1011" spans="1:9" ht="12.75">
      <c r="A1011" s="2"/>
      <c r="B1011" s="2"/>
      <c r="C1011" s="2"/>
      <c r="D1011" s="2"/>
      <c r="E1011" s="2"/>
      <c r="F1011" s="2"/>
      <c r="G1011" s="2"/>
      <c r="H1011" s="2"/>
      <c r="I1011" s="2"/>
    </row>
    <row r="1012" spans="1:9" ht="12.75">
      <c r="A1012" s="2"/>
      <c r="B1012" s="2"/>
      <c r="C1012" s="2"/>
      <c r="D1012" s="2"/>
      <c r="E1012" s="2"/>
      <c r="F1012" s="2"/>
      <c r="G1012" s="2"/>
      <c r="H1012" s="2"/>
      <c r="I1012" s="2"/>
    </row>
    <row r="1013" spans="1:9" ht="12.75">
      <c r="A1013" s="2"/>
      <c r="B1013" s="2"/>
      <c r="C1013" s="2"/>
      <c r="D1013" s="2"/>
      <c r="E1013" s="2"/>
      <c r="F1013" s="2"/>
      <c r="G1013" s="2"/>
      <c r="H1013" s="2"/>
      <c r="I1013" s="2"/>
    </row>
    <row r="1014" spans="1:9" ht="12.75">
      <c r="A1014" s="2"/>
      <c r="B1014" s="2"/>
      <c r="C1014" s="2"/>
      <c r="D1014" s="2"/>
      <c r="E1014" s="2"/>
      <c r="F1014" s="2"/>
      <c r="G1014" s="2"/>
      <c r="H1014" s="2"/>
      <c r="I1014" s="2"/>
    </row>
    <row r="1015" spans="1:9" ht="12.75">
      <c r="A1015" s="2"/>
      <c r="B1015" s="2"/>
      <c r="C1015" s="2"/>
      <c r="D1015" s="2"/>
      <c r="E1015" s="2"/>
      <c r="F1015" s="2"/>
      <c r="G1015" s="2"/>
      <c r="H1015" s="2"/>
      <c r="I1015" s="2"/>
    </row>
    <row r="1016" spans="1:9" ht="12.75">
      <c r="A1016" s="2"/>
      <c r="B1016" s="2"/>
      <c r="C1016" s="2"/>
      <c r="D1016" s="2"/>
      <c r="E1016" s="2"/>
      <c r="F1016" s="2"/>
      <c r="G1016" s="2"/>
      <c r="H1016" s="2"/>
      <c r="I1016" s="2"/>
    </row>
    <row r="1017" spans="1:9" ht="12.75">
      <c r="A1017" s="2"/>
      <c r="B1017" s="2"/>
      <c r="C1017" s="2"/>
      <c r="D1017" s="2"/>
      <c r="E1017" s="2"/>
      <c r="F1017" s="2"/>
      <c r="G1017" s="2"/>
      <c r="H1017" s="2"/>
      <c r="I1017" s="2"/>
    </row>
    <row r="1018" spans="1:9" ht="12.75">
      <c r="A1018" s="2"/>
      <c r="B1018" s="2"/>
      <c r="C1018" s="2"/>
      <c r="D1018" s="2"/>
      <c r="E1018" s="2"/>
      <c r="F1018" s="2"/>
      <c r="G1018" s="2"/>
      <c r="H1018" s="2"/>
      <c r="I1018" s="2"/>
    </row>
    <row r="1019" spans="1:9" ht="12.75">
      <c r="A1019" s="2"/>
      <c r="B1019" s="2"/>
      <c r="C1019" s="2"/>
      <c r="D1019" s="2"/>
      <c r="E1019" s="2"/>
      <c r="F1019" s="2"/>
      <c r="G1019" s="2"/>
      <c r="H1019" s="2"/>
      <c r="I1019" s="2"/>
    </row>
    <row r="1020" spans="1:9" ht="12.75">
      <c r="A1020" s="2"/>
      <c r="B1020" s="2"/>
      <c r="C1020" s="2"/>
      <c r="D1020" s="2"/>
      <c r="E1020" s="2"/>
      <c r="F1020" s="2"/>
      <c r="G1020" s="2"/>
      <c r="H1020" s="2"/>
      <c r="I1020" s="2"/>
    </row>
    <row r="1021" spans="1:9" ht="12.75">
      <c r="A1021" s="2"/>
      <c r="B1021" s="2"/>
      <c r="C1021" s="2"/>
      <c r="D1021" s="2"/>
      <c r="E1021" s="2"/>
      <c r="F1021" s="2"/>
      <c r="G1021" s="2"/>
      <c r="H1021" s="2"/>
      <c r="I1021" s="2"/>
    </row>
    <row r="1022" spans="1:9" ht="12.75">
      <c r="A1022" s="2"/>
      <c r="B1022" s="2"/>
      <c r="C1022" s="2"/>
      <c r="D1022" s="2"/>
      <c r="E1022" s="2"/>
      <c r="F1022" s="2"/>
      <c r="G1022" s="2"/>
      <c r="H1022" s="2"/>
      <c r="I1022" s="2"/>
    </row>
    <row r="1023" spans="1:9" ht="12.75">
      <c r="A1023" s="2"/>
      <c r="B1023" s="2"/>
      <c r="C1023" s="2"/>
      <c r="D1023" s="2"/>
      <c r="E1023" s="2"/>
      <c r="F1023" s="2"/>
      <c r="G1023" s="2"/>
      <c r="H1023" s="2"/>
      <c r="I1023" s="2"/>
    </row>
    <row r="1024" spans="1:9" ht="12.75">
      <c r="A1024" s="2"/>
      <c r="B1024" s="2"/>
      <c r="C1024" s="2"/>
      <c r="D1024" s="2"/>
      <c r="E1024" s="2"/>
      <c r="F1024" s="2"/>
      <c r="G1024" s="2"/>
      <c r="H1024" s="2"/>
      <c r="I1024" s="2"/>
    </row>
    <row r="1025" spans="1:9" ht="12.75">
      <c r="A1025" s="2"/>
      <c r="B1025" s="2"/>
      <c r="C1025" s="2"/>
      <c r="D1025" s="2"/>
      <c r="E1025" s="2"/>
      <c r="F1025" s="2"/>
      <c r="G1025" s="2"/>
      <c r="H1025" s="2"/>
      <c r="I1025" s="2"/>
    </row>
    <row r="1026" spans="1:9" ht="12.75">
      <c r="A1026" s="2"/>
      <c r="B1026" s="2"/>
      <c r="C1026" s="2"/>
      <c r="D1026" s="2"/>
      <c r="E1026" s="2"/>
      <c r="F1026" s="2"/>
      <c r="G1026" s="2"/>
      <c r="H1026" s="2"/>
      <c r="I1026" s="2"/>
    </row>
    <row r="1027" spans="1:9" ht="12.75">
      <c r="A1027" s="2"/>
      <c r="B1027" s="2"/>
      <c r="C1027" s="2"/>
      <c r="D1027" s="2"/>
      <c r="E1027" s="2"/>
      <c r="F1027" s="2"/>
      <c r="G1027" s="2"/>
      <c r="H1027" s="2"/>
      <c r="I1027" s="2"/>
    </row>
    <row r="1028" spans="1:9" ht="12.75">
      <c r="A1028" s="2"/>
      <c r="B1028" s="2"/>
      <c r="C1028" s="2"/>
      <c r="D1028" s="2"/>
      <c r="E1028" s="2"/>
      <c r="F1028" s="2"/>
      <c r="G1028" s="2"/>
      <c r="H1028" s="2"/>
      <c r="I1028" s="2"/>
    </row>
    <row r="1029" spans="1:9" ht="12.75">
      <c r="A1029" s="2"/>
      <c r="B1029" s="2"/>
      <c r="C1029" s="2"/>
      <c r="D1029" s="2"/>
      <c r="E1029" s="2"/>
      <c r="F1029" s="2"/>
      <c r="G1029" s="2"/>
      <c r="H1029" s="2"/>
      <c r="I1029" s="2"/>
    </row>
    <row r="1030" spans="1:9" ht="12.75">
      <c r="A1030" s="2"/>
      <c r="B1030" s="2"/>
      <c r="C1030" s="2"/>
      <c r="D1030" s="2"/>
      <c r="E1030" s="2"/>
      <c r="F1030" s="2"/>
      <c r="G1030" s="2"/>
      <c r="H1030" s="2"/>
      <c r="I1030" s="2"/>
    </row>
    <row r="1031" spans="1:9" ht="12.75">
      <c r="A1031" s="2"/>
      <c r="B1031" s="2"/>
      <c r="C1031" s="2"/>
      <c r="D1031" s="2"/>
      <c r="E1031" s="2"/>
      <c r="F1031" s="2"/>
      <c r="G1031" s="2"/>
      <c r="H1031" s="2"/>
      <c r="I1031" s="2"/>
    </row>
    <row r="1032" spans="1:9" ht="12.75">
      <c r="A1032" s="2"/>
      <c r="B1032" s="2"/>
      <c r="C1032" s="2"/>
      <c r="D1032" s="2"/>
      <c r="E1032" s="2"/>
      <c r="F1032" s="2"/>
      <c r="G1032" s="2"/>
      <c r="H1032" s="2"/>
      <c r="I1032" s="2"/>
    </row>
    <row r="1033" spans="1:9" ht="12.75">
      <c r="A1033" s="2"/>
      <c r="B1033" s="2"/>
      <c r="C1033" s="2"/>
      <c r="D1033" s="2"/>
      <c r="E1033" s="2"/>
      <c r="F1033" s="2"/>
      <c r="G1033" s="2"/>
      <c r="H1033" s="2"/>
      <c r="I1033" s="2"/>
    </row>
    <row r="1034" spans="1:9" ht="12.75">
      <c r="A1034" s="2"/>
      <c r="B1034" s="2"/>
      <c r="C1034" s="2"/>
      <c r="D1034" s="2"/>
      <c r="E1034" s="2"/>
      <c r="F1034" s="2"/>
      <c r="G1034" s="2"/>
      <c r="H1034" s="2"/>
      <c r="I1034" s="2"/>
    </row>
    <row r="1035" spans="1:9" ht="12.75">
      <c r="A1035" s="2"/>
      <c r="B1035" s="2"/>
      <c r="C1035" s="2"/>
      <c r="D1035" s="2"/>
      <c r="E1035" s="2"/>
      <c r="F1035" s="2"/>
      <c r="G1035" s="2"/>
      <c r="H1035" s="2"/>
      <c r="I1035" s="2"/>
    </row>
    <row r="1036" spans="1:9" ht="12.75">
      <c r="A1036" s="2"/>
      <c r="B1036" s="2"/>
      <c r="C1036" s="2"/>
      <c r="D1036" s="2"/>
      <c r="E1036" s="2"/>
      <c r="F1036" s="2"/>
      <c r="G1036" s="2"/>
      <c r="H1036" s="2"/>
      <c r="I1036" s="2"/>
    </row>
    <row r="1037" spans="1:9" ht="12.75">
      <c r="A1037" s="2"/>
      <c r="B1037" s="2"/>
      <c r="C1037" s="2"/>
      <c r="D1037" s="2"/>
      <c r="E1037" s="2"/>
      <c r="F1037" s="2"/>
      <c r="G1037" s="2"/>
      <c r="H1037" s="2"/>
      <c r="I1037" s="2"/>
    </row>
    <row r="1038" spans="1:9" ht="12.75">
      <c r="A1038" s="2"/>
      <c r="B1038" s="2"/>
      <c r="C1038" s="2"/>
      <c r="D1038" s="2"/>
      <c r="E1038" s="2"/>
      <c r="F1038" s="2"/>
      <c r="G1038" s="2"/>
      <c r="H1038" s="2"/>
      <c r="I1038" s="2"/>
    </row>
    <row r="1039" spans="1:9" ht="12.75">
      <c r="A1039" s="2"/>
      <c r="B1039" s="2"/>
      <c r="C1039" s="2"/>
      <c r="D1039" s="2"/>
      <c r="E1039" s="2"/>
      <c r="F1039" s="2"/>
      <c r="G1039" s="2"/>
      <c r="H1039" s="2"/>
      <c r="I1039" s="2"/>
    </row>
    <row r="1040" spans="1:9" ht="12.75">
      <c r="A1040" s="2"/>
      <c r="B1040" s="2"/>
      <c r="C1040" s="2"/>
      <c r="D1040" s="2"/>
      <c r="E1040" s="2"/>
      <c r="F1040" s="2"/>
      <c r="G1040" s="2"/>
      <c r="H1040" s="2"/>
      <c r="I1040" s="2"/>
    </row>
  </sheetData>
  <sheetProtection password="DBB2" sheet="1" objects="1" scenarios="1"/>
  <mergeCells count="20">
    <mergeCell ref="B15:C16"/>
    <mergeCell ref="E13:F13"/>
    <mergeCell ref="G5:I5"/>
    <mergeCell ref="E5:F5"/>
    <mergeCell ref="E7:G7"/>
    <mergeCell ref="H7:I7"/>
    <mergeCell ref="E11:G11"/>
    <mergeCell ref="H11:I11"/>
    <mergeCell ref="D45:E45"/>
    <mergeCell ref="C24:D24"/>
    <mergeCell ref="C19:D19"/>
    <mergeCell ref="C20:D20"/>
    <mergeCell ref="C21:D21"/>
    <mergeCell ref="C22:D22"/>
    <mergeCell ref="C23:D23"/>
    <mergeCell ref="F57:G57"/>
    <mergeCell ref="D46:E46"/>
    <mergeCell ref="D47:E47"/>
    <mergeCell ref="D48:E48"/>
    <mergeCell ref="F54:G54"/>
  </mergeCells>
  <hyperlinks>
    <hyperlink ref="C23" r:id="rId1" display="info@euroleasing.cz"/>
    <hyperlink ref="B15" r:id="rId2" display="www.euroleasing.cz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4"/>
  <sheetViews>
    <sheetView workbookViewId="0" topLeftCell="A4">
      <selection activeCell="E47" sqref="E47"/>
    </sheetView>
  </sheetViews>
  <sheetFormatPr defaultColWidth="9.00390625" defaultRowHeight="12.75"/>
  <cols>
    <col min="1" max="1" width="1.875" style="2" customWidth="1"/>
    <col min="2" max="2" width="1.75390625" style="1" customWidth="1"/>
    <col min="3" max="7" width="16.75390625" style="0" customWidth="1"/>
    <col min="8" max="8" width="1.37890625" style="0" customWidth="1"/>
    <col min="9" max="22" width="9.125" style="2" customWidth="1"/>
  </cols>
  <sheetData>
    <row r="1" spans="1:22" s="6" customFormat="1" ht="4.5" customHeight="1">
      <c r="A1" s="5"/>
      <c r="B1" s="20"/>
      <c r="C1" s="3"/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13" customFormat="1" ht="12.75" customHeight="1">
      <c r="A2" s="12"/>
      <c r="B2" s="26" t="str">
        <f>IF(Zadání!C195=1," pobočka Praha 2",IF(Zadání!C195=2," pobočka Rakovník",Zadání!C19))</f>
        <v> pobočka Rakovník</v>
      </c>
      <c r="C2" s="24"/>
      <c r="D2" s="11"/>
      <c r="E2" s="11"/>
      <c r="F2" s="11"/>
      <c r="G2" s="11"/>
      <c r="H2" s="1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s="13" customFormat="1" ht="12.75" customHeight="1">
      <c r="A3" s="12"/>
      <c r="B3" s="27" t="str">
        <f>IF(Zadání!C195=1," Sekaninova 52, PSČ: 128 00",IF(Zadání!C195=2," Vysoká 273, PSČ: 269 01",Zadání!C20))</f>
        <v> Vysoká 273, PSČ: 269 01</v>
      </c>
      <c r="C3" s="24"/>
      <c r="D3" s="11"/>
      <c r="E3" s="11"/>
      <c r="F3" s="11"/>
      <c r="G3" s="11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s="13" customFormat="1" ht="12.75" customHeight="1">
      <c r="A4" s="12"/>
      <c r="B4" s="27" t="str">
        <f>IF(Zadání!C195=1," tel.: 224 936 262-3",IF(Zadání!C195=2," tel.: 313 515 743",Zadání!C21))</f>
        <v> tel.: 313 515 743</v>
      </c>
      <c r="C4" s="24"/>
      <c r="D4" s="11"/>
      <c r="E4" s="11"/>
      <c r="F4" s="11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s="13" customFormat="1" ht="12.75" customHeight="1">
      <c r="A5" s="12"/>
      <c r="B5" s="27" t="str">
        <f>IF(Zadání!C195=1," fax: 261 220 074",IF(Zadání!C195=2," fax: 313 516 260",Zadání!C22))</f>
        <v> fax: 313 516 260</v>
      </c>
      <c r="C5" s="11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13" customFormat="1" ht="12.75" customHeight="1">
      <c r="A6" s="12"/>
      <c r="B6" s="27" t="str">
        <f>IF(Zadání!C195=1," e-mail: praha@euroleasing.cz",IF(Zadání!C195=2," e-mail: rakovník@euroleasing.cz",Zadání!C23))</f>
        <v> e-mail: rakovník@euroleasing.cz</v>
      </c>
      <c r="C6" s="11"/>
      <c r="D6" s="11"/>
      <c r="E6" s="11"/>
      <c r="F6" s="11"/>
      <c r="G6" s="11"/>
      <c r="H6" s="1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13" customFormat="1" ht="12.75" customHeight="1">
      <c r="A7" s="12"/>
      <c r="B7" s="27" t="str">
        <f>IF(Zadání!C195=1," vyřizuje: Dagmar Veselá, 608 345 109",IF(Zadání!C195=2," vyřizuje: J.Komínková, 608 345 108",Zadání!C24))</f>
        <v> vyřizuje: J.Komínková, 608 345 108</v>
      </c>
      <c r="C7" s="11"/>
      <c r="D7" s="11"/>
      <c r="E7" s="11"/>
      <c r="F7" s="11"/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13" customFormat="1" ht="28.5" customHeight="1">
      <c r="A8" s="12"/>
      <c r="B8" s="28"/>
      <c r="C8" s="25"/>
      <c r="D8" s="25"/>
      <c r="E8" s="25"/>
      <c r="F8" s="25"/>
      <c r="G8" s="25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6" customFormat="1" ht="57.75" customHeight="1">
      <c r="A9" s="5"/>
      <c r="B9" s="310" t="s">
        <v>133</v>
      </c>
      <c r="C9" s="303"/>
      <c r="D9" s="303"/>
      <c r="E9" s="303"/>
      <c r="F9" s="303"/>
      <c r="G9" s="303"/>
      <c r="H9" s="303"/>
      <c r="I9" s="8"/>
      <c r="J9" s="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6" customFormat="1" ht="51.75" customHeight="1">
      <c r="A10" s="5"/>
      <c r="B10" s="4"/>
      <c r="C10" s="4"/>
      <c r="D10" s="4"/>
      <c r="E10" s="4"/>
      <c r="F10" s="4"/>
      <c r="G10" s="30"/>
      <c r="H10" s="4"/>
      <c r="I10" s="8"/>
      <c r="J10" s="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236" customFormat="1" ht="15.75" customHeight="1">
      <c r="A11" s="233"/>
      <c r="B11" s="234"/>
      <c r="C11" s="177" t="s">
        <v>125</v>
      </c>
      <c r="D11" s="222"/>
      <c r="E11" s="235">
        <f>Zadání!C5</f>
        <v>150000</v>
      </c>
      <c r="G11" s="237"/>
      <c r="H11" s="234"/>
      <c r="I11" s="238"/>
      <c r="J11" s="238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</row>
    <row r="12" spans="1:22" s="236" customFormat="1" ht="15.75" customHeight="1">
      <c r="A12" s="233"/>
      <c r="B12" s="234"/>
      <c r="C12" s="181" t="s">
        <v>126</v>
      </c>
      <c r="D12" s="223"/>
      <c r="E12" s="239">
        <f>(Zadání!C7+1)*E11</f>
        <v>180000</v>
      </c>
      <c r="F12" s="240"/>
      <c r="G12" s="241"/>
      <c r="H12" s="234"/>
      <c r="I12" s="238"/>
      <c r="J12" s="238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</row>
    <row r="13" spans="1:22" s="236" customFormat="1" ht="45" customHeight="1">
      <c r="A13" s="233"/>
      <c r="B13" s="234"/>
      <c r="C13" s="277" t="s">
        <v>35</v>
      </c>
      <c r="D13" s="33"/>
      <c r="E13" s="33"/>
      <c r="F13" s="33"/>
      <c r="G13" s="33"/>
      <c r="H13" s="234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</row>
    <row r="14" spans="1:22" s="244" customFormat="1" ht="12.75" customHeight="1">
      <c r="A14" s="242"/>
      <c r="B14" s="243"/>
      <c r="C14" s="305" t="s">
        <v>74</v>
      </c>
      <c r="D14" s="332"/>
      <c r="E14" s="332"/>
      <c r="F14" s="305" t="s">
        <v>137</v>
      </c>
      <c r="G14" s="333"/>
      <c r="H14" s="243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</row>
    <row r="15" spans="1:22" s="244" customFormat="1" ht="12.75" customHeight="1">
      <c r="A15" s="242"/>
      <c r="B15" s="243"/>
      <c r="C15" s="39" t="s">
        <v>0</v>
      </c>
      <c r="D15" s="39" t="s">
        <v>67</v>
      </c>
      <c r="E15" s="41" t="s">
        <v>134</v>
      </c>
      <c r="F15" s="39" t="s">
        <v>67</v>
      </c>
      <c r="G15" s="41" t="s">
        <v>134</v>
      </c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</row>
    <row r="16" spans="1:22" s="248" customFormat="1" ht="12.75" customHeight="1">
      <c r="A16" s="245"/>
      <c r="B16" s="246"/>
      <c r="C16" s="247">
        <v>0.2</v>
      </c>
      <c r="D16" s="224">
        <f>$E$11*C16</f>
        <v>30000</v>
      </c>
      <c r="E16" s="225">
        <f>D16*(1+Zadání!$C$7)</f>
        <v>36000</v>
      </c>
      <c r="F16" s="224">
        <f>IF(Zadání!$C$27=1,PMT(Zadání!$C$51/12,60,-(($E$11-D16)+($E$11*Zadání!$G$52)),,1),PMT(Zadání!$E$51/12,60,-(($E$11-D16)+($E$11*Zadání!$G$52)),,1))</f>
        <v>2842.7918406146987</v>
      </c>
      <c r="G16" s="226">
        <f>F16*(1+Zadání!$C$7)</f>
        <v>3411.3502087376382</v>
      </c>
      <c r="H16" s="246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</row>
    <row r="17" spans="1:22" s="248" customFormat="1" ht="12.75" customHeight="1">
      <c r="A17" s="245"/>
      <c r="B17" s="246"/>
      <c r="C17" s="249">
        <v>0.25</v>
      </c>
      <c r="D17" s="227">
        <f>$E$11*C17</f>
        <v>37500</v>
      </c>
      <c r="E17" s="228">
        <f>D17*(1+Zadání!$C$7)</f>
        <v>45000</v>
      </c>
      <c r="F17" s="227">
        <f>IF(Zadání!$C$27=1,PMT(Zadání!$C$51/12,60,-(($E$11-D17)+($E$11*Zadání!$G$52)),,1),PMT(Zadání!$E$51/12,60,-(($E$11-D17)+($E$11*Zadání!$G$52)),,1))</f>
        <v>2679.412999200061</v>
      </c>
      <c r="G17" s="229">
        <f>F17*(1+Zadání!$C$7)</f>
        <v>3215.2955990400733</v>
      </c>
      <c r="H17" s="246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</row>
    <row r="18" spans="1:22" s="248" customFormat="1" ht="12.75" customHeight="1">
      <c r="A18" s="245"/>
      <c r="B18" s="246"/>
      <c r="C18" s="249">
        <v>0.3</v>
      </c>
      <c r="D18" s="227">
        <f>$E$11*C18</f>
        <v>45000</v>
      </c>
      <c r="E18" s="228">
        <f>D18*(1+Zadání!$C$7)</f>
        <v>54000</v>
      </c>
      <c r="F18" s="227">
        <f>IF(Zadání!$C$27=1,PMT(Zadání!$C$51/12,60,-(($E$11-D18)+($E$11*Zadání!$G$52)),,1),PMT(Zadání!$E$51/12,60,-(($E$11-D18)+($E$11*Zadání!$G$52)),,1))</f>
        <v>2516.034157785423</v>
      </c>
      <c r="G18" s="229">
        <f>F18*(1+Zadání!$C$7)</f>
        <v>3019.2409893425074</v>
      </c>
      <c r="H18" s="246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</row>
    <row r="19" spans="1:22" s="248" customFormat="1" ht="12.75" customHeight="1">
      <c r="A19" s="245"/>
      <c r="B19" s="246"/>
      <c r="C19" s="250">
        <v>0.4</v>
      </c>
      <c r="D19" s="230">
        <f>$E$11*C19</f>
        <v>60000</v>
      </c>
      <c r="E19" s="231">
        <f>D19*(1+Zadání!$C$7)</f>
        <v>72000</v>
      </c>
      <c r="F19" s="230">
        <f>IF(Zadání!$C$27=1,PMT(Zadání!$C$51/12,60,-(($E$11-D19)+($E$11*Zadání!$G$52)),,1),PMT(Zadání!$E$51/12,60,-(($E$11-D19)+($E$11*Zadání!$G$52)),,1))</f>
        <v>2189.2764749561475</v>
      </c>
      <c r="G19" s="232">
        <f>F19*(1+Zadání!$C$7)</f>
        <v>2627.131769947377</v>
      </c>
      <c r="H19" s="246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</row>
    <row r="20" spans="1:22" s="236" customFormat="1" ht="39.75" customHeight="1">
      <c r="A20" s="233"/>
      <c r="B20" s="234"/>
      <c r="C20" s="277" t="s">
        <v>1</v>
      </c>
      <c r="D20" s="33"/>
      <c r="E20" s="33"/>
      <c r="F20" s="33"/>
      <c r="G20" s="33"/>
      <c r="H20" s="234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</row>
    <row r="21" spans="1:22" s="244" customFormat="1" ht="12.75" customHeight="1">
      <c r="A21" s="242"/>
      <c r="B21" s="243"/>
      <c r="C21" s="305" t="s">
        <v>74</v>
      </c>
      <c r="D21" s="332"/>
      <c r="E21" s="332"/>
      <c r="F21" s="305" t="s">
        <v>137</v>
      </c>
      <c r="G21" s="333"/>
      <c r="H21" s="243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</row>
    <row r="22" spans="1:22" s="244" customFormat="1" ht="12.75" customHeight="1">
      <c r="A22" s="242"/>
      <c r="B22" s="243"/>
      <c r="C22" s="39" t="s">
        <v>0</v>
      </c>
      <c r="D22" s="39" t="s">
        <v>67</v>
      </c>
      <c r="E22" s="41" t="s">
        <v>134</v>
      </c>
      <c r="F22" s="39" t="s">
        <v>67</v>
      </c>
      <c r="G22" s="41" t="s">
        <v>134</v>
      </c>
      <c r="H22" s="243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</row>
    <row r="23" spans="1:22" s="248" customFormat="1" ht="12.75" customHeight="1">
      <c r="A23" s="245"/>
      <c r="B23" s="246"/>
      <c r="C23" s="247">
        <v>0.2</v>
      </c>
      <c r="D23" s="224">
        <f>$E$11*C23</f>
        <v>30000</v>
      </c>
      <c r="E23" s="225">
        <f>D23*(1+Zadání!$C$7)</f>
        <v>36000</v>
      </c>
      <c r="F23" s="224">
        <f>IF(Zadání!$C$27=1,PMT(Zadání!$C$51/12,48,-(($E$11-D23)+($E$11*Zadání!$G$52)),,1),PMT(Zadání!$E$51/12,48,-(($E$11-D23)+($E$11*Zadání!$G$52)),,1))</f>
        <v>3372.2978082189597</v>
      </c>
      <c r="G23" s="226">
        <f>F23*(1+Zadání!$C$7)</f>
        <v>4046.7573698627516</v>
      </c>
      <c r="H23" s="246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</row>
    <row r="24" spans="1:22" s="248" customFormat="1" ht="12.75" customHeight="1">
      <c r="A24" s="245"/>
      <c r="B24" s="246"/>
      <c r="C24" s="249">
        <v>0.25</v>
      </c>
      <c r="D24" s="227">
        <f>$E$11*C24</f>
        <v>37500</v>
      </c>
      <c r="E24" s="228">
        <f>D24*(1+Zadání!$C$7)</f>
        <v>45000</v>
      </c>
      <c r="F24" s="227">
        <f>IF(Zadání!$C$27=1,PMT(Zadání!$C$51/12,48,-(($E$11-D24)+($E$11*Zadání!$G$52)),,1),PMT(Zadání!$E$51/12,48,-(($E$11-D24)+($E$11*Zadání!$G$52)),,1))</f>
        <v>3178.4875893558014</v>
      </c>
      <c r="G24" s="229">
        <f>F24*(1+Zadání!$C$7)</f>
        <v>3814.1851072269615</v>
      </c>
      <c r="H24" s="246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</row>
    <row r="25" spans="1:22" s="248" customFormat="1" ht="12.75" customHeight="1">
      <c r="A25" s="245"/>
      <c r="B25" s="246"/>
      <c r="C25" s="249">
        <v>0.3</v>
      </c>
      <c r="D25" s="227">
        <f>$E$11*C25</f>
        <v>45000</v>
      </c>
      <c r="E25" s="228">
        <f>D25*(1+Zadání!$C$7)</f>
        <v>54000</v>
      </c>
      <c r="F25" s="227">
        <f>IF(Zadání!$C$27=1,PMT(Zadání!$C$51/12,48,-(($E$11-D25)+($E$11*Zadání!$G$52)),,1),PMT(Zadání!$E$51/12,48,-(($E$11-D25)+($E$11*Zadání!$G$52)),,1))</f>
        <v>2984.6773704926427</v>
      </c>
      <c r="G25" s="229">
        <f>F25*(1+Zadání!$C$7)</f>
        <v>3581.6128445911713</v>
      </c>
      <c r="H25" s="246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</row>
    <row r="26" spans="1:22" s="248" customFormat="1" ht="12.75" customHeight="1">
      <c r="A26" s="245"/>
      <c r="B26" s="246"/>
      <c r="C26" s="250">
        <v>0.4</v>
      </c>
      <c r="D26" s="230">
        <f>$E$11*C26</f>
        <v>60000</v>
      </c>
      <c r="E26" s="231">
        <f>D26*(1+Zadání!$C$7)</f>
        <v>72000</v>
      </c>
      <c r="F26" s="230">
        <f>IF(Zadání!$C$27=1,PMT(Zadání!$C$51/12,48,-(($E$11-D26)+($E$11*Zadání!$G$52)),,1),PMT(Zadání!$E$51/12,48,-(($E$11-D26)+($E$11*Zadání!$G$52)),,1))</f>
        <v>2597.0569327663256</v>
      </c>
      <c r="G26" s="232">
        <f>F26*(1+Zadání!$C$7)</f>
        <v>3116.4683193195906</v>
      </c>
      <c r="H26" s="246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</row>
    <row r="27" spans="1:22" s="236" customFormat="1" ht="39.75" customHeight="1">
      <c r="A27" s="233"/>
      <c r="B27" s="234"/>
      <c r="C27" s="277" t="s">
        <v>2</v>
      </c>
      <c r="D27" s="33"/>
      <c r="E27" s="33"/>
      <c r="F27" s="33"/>
      <c r="G27" s="33"/>
      <c r="H27" s="234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</row>
    <row r="28" spans="1:22" s="244" customFormat="1" ht="12.75" customHeight="1">
      <c r="A28" s="242"/>
      <c r="B28" s="243"/>
      <c r="C28" s="305" t="s">
        <v>74</v>
      </c>
      <c r="D28" s="332"/>
      <c r="E28" s="332"/>
      <c r="F28" s="305" t="s">
        <v>137</v>
      </c>
      <c r="G28" s="333"/>
      <c r="H28" s="243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</row>
    <row r="29" spans="1:22" s="244" customFormat="1" ht="12.75" customHeight="1">
      <c r="A29" s="242"/>
      <c r="B29" s="243"/>
      <c r="C29" s="39" t="s">
        <v>0</v>
      </c>
      <c r="D29" s="39" t="s">
        <v>67</v>
      </c>
      <c r="E29" s="41" t="s">
        <v>134</v>
      </c>
      <c r="F29" s="39" t="s">
        <v>67</v>
      </c>
      <c r="G29" s="41" t="s">
        <v>134</v>
      </c>
      <c r="H29" s="243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</row>
    <row r="30" spans="1:22" s="248" customFormat="1" ht="12.75" customHeight="1">
      <c r="A30" s="245"/>
      <c r="B30" s="246"/>
      <c r="C30" s="247">
        <v>0.2</v>
      </c>
      <c r="D30" s="224">
        <f>$E$11*C30</f>
        <v>30000</v>
      </c>
      <c r="E30" s="225">
        <f>D30*(1+Zadání!$C$7)</f>
        <v>36000</v>
      </c>
      <c r="F30" s="224">
        <f>IF(Zadání!$C$27=1,PMT(Zadání!$C$51/12,36,-(($E$11-D30)+($E$11*Zadání!$G$52)),,1),PMT(Zadání!$E$51/12,36,-(($E$11-D30)+($E$11*Zadání!$G$52)),,1))</f>
        <v>4262.519692431211</v>
      </c>
      <c r="G30" s="226">
        <f>F30*(1+Zadání!$C$7)</f>
        <v>5115.023630917453</v>
      </c>
      <c r="H30" s="246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</row>
    <row r="31" spans="1:22" s="248" customFormat="1" ht="12.75" customHeight="1">
      <c r="A31" s="245"/>
      <c r="B31" s="246"/>
      <c r="C31" s="249">
        <v>0.25</v>
      </c>
      <c r="D31" s="227">
        <f>$E$11*C31</f>
        <v>37500</v>
      </c>
      <c r="E31" s="228">
        <f>D31*(1+Zadání!$C$7)</f>
        <v>45000</v>
      </c>
      <c r="F31" s="227">
        <f>IF(Zadání!$C$27=1,PMT(Zadání!$C$51/12,36,-(($E$11-D31)+($E$11*Zadání!$G$52)),,1),PMT(Zadání!$E$51/12,36,-(($E$11-D31)+($E$11*Zadání!$G$52)),,1))</f>
        <v>4017.547296314475</v>
      </c>
      <c r="G31" s="229">
        <f>F31*(1+Zadání!$C$7)</f>
        <v>4821.05675557737</v>
      </c>
      <c r="H31" s="246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</row>
    <row r="32" spans="1:22" s="248" customFormat="1" ht="12.75" customHeight="1">
      <c r="A32" s="245"/>
      <c r="B32" s="246"/>
      <c r="C32" s="249">
        <v>0.3</v>
      </c>
      <c r="D32" s="227">
        <f>$E$11*C32</f>
        <v>45000</v>
      </c>
      <c r="E32" s="228">
        <f>D32*(1+Zadání!$C$7)</f>
        <v>54000</v>
      </c>
      <c r="F32" s="227">
        <f>IF(Zadání!$C$27=1,PMT(Zadání!$C$51/12,36,-(($E$11-D32)+($E$11*Zadání!$G$52)),,1),PMT(Zadání!$E$51/12,36,-(($E$11-D32)+($E$11*Zadání!$G$52)),,1))</f>
        <v>3772.5749001977388</v>
      </c>
      <c r="G32" s="229">
        <f>F32*(1+Zadání!$C$7)</f>
        <v>4527.089880237287</v>
      </c>
      <c r="H32" s="246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</row>
    <row r="33" spans="1:22" s="248" customFormat="1" ht="12.75" customHeight="1">
      <c r="A33" s="245"/>
      <c r="B33" s="246"/>
      <c r="C33" s="250">
        <v>0.4</v>
      </c>
      <c r="D33" s="230">
        <f>$E$11*C33</f>
        <v>60000</v>
      </c>
      <c r="E33" s="231">
        <f>D33*(1+Zadání!$C$7)</f>
        <v>72000</v>
      </c>
      <c r="F33" s="230">
        <f>IF(Zadání!$C$27=1,PMT(Zadání!$C$51/12,36,-(($E$11-D33)+($E$11*Zadání!$G$52)),,1),PMT(Zadání!$E$51/12,36,-(($E$11-D33)+($E$11*Zadání!$G$52)),,1))</f>
        <v>3282.6301079642662</v>
      </c>
      <c r="G33" s="232">
        <f>F33*(1+Zadání!$C$7)</f>
        <v>3939.156129557119</v>
      </c>
      <c r="H33" s="246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</row>
    <row r="34" spans="1:22" s="236" customFormat="1" ht="39.75" customHeight="1">
      <c r="A34" s="233"/>
      <c r="B34" s="234"/>
      <c r="C34" s="277" t="s">
        <v>3</v>
      </c>
      <c r="D34" s="33"/>
      <c r="E34" s="33"/>
      <c r="F34" s="33"/>
      <c r="G34" s="33"/>
      <c r="H34" s="234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</row>
    <row r="35" spans="1:22" s="244" customFormat="1" ht="12.75" customHeight="1">
      <c r="A35" s="242"/>
      <c r="B35" s="243"/>
      <c r="C35" s="305" t="s">
        <v>74</v>
      </c>
      <c r="D35" s="332"/>
      <c r="E35" s="332"/>
      <c r="F35" s="305" t="s">
        <v>137</v>
      </c>
      <c r="G35" s="333"/>
      <c r="H35" s="243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</row>
    <row r="36" spans="1:22" s="244" customFormat="1" ht="12.75" customHeight="1">
      <c r="A36" s="242"/>
      <c r="B36" s="243"/>
      <c r="C36" s="39" t="s">
        <v>0</v>
      </c>
      <c r="D36" s="39" t="s">
        <v>67</v>
      </c>
      <c r="E36" s="41" t="s">
        <v>134</v>
      </c>
      <c r="F36" s="39" t="s">
        <v>67</v>
      </c>
      <c r="G36" s="41" t="s">
        <v>134</v>
      </c>
      <c r="H36" s="243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</row>
    <row r="37" spans="1:22" s="248" customFormat="1" ht="12.75" customHeight="1">
      <c r="A37" s="245"/>
      <c r="B37" s="246"/>
      <c r="C37" s="247">
        <v>0.2</v>
      </c>
      <c r="D37" s="224">
        <f>$E$11*C37</f>
        <v>30000</v>
      </c>
      <c r="E37" s="225">
        <f>D37*(1+Zadání!$C$7)</f>
        <v>36000</v>
      </c>
      <c r="F37" s="224">
        <f>IF(Zadání!$C$27=1,PMT(Zadání!$C$51/12,24,-(($E$11-D37)+($E$11*Zadání!$G$52)),,1),PMT(Zadání!$E$51/12,24,-(($E$11-D37)+($E$11*Zadání!$G$52)),,1))</f>
        <v>6054.637536750467</v>
      </c>
      <c r="G37" s="226">
        <f>F37*(1+Zadání!$C$7)</f>
        <v>7265.56504410056</v>
      </c>
      <c r="H37" s="246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</row>
    <row r="38" spans="1:22" s="248" customFormat="1" ht="12.75" customHeight="1">
      <c r="A38" s="245"/>
      <c r="B38" s="246"/>
      <c r="C38" s="249">
        <v>0.25</v>
      </c>
      <c r="D38" s="227">
        <f>$E$11*C38</f>
        <v>37500</v>
      </c>
      <c r="E38" s="228">
        <f>D38*(1+Zadání!$C$7)</f>
        <v>45000</v>
      </c>
      <c r="F38" s="227">
        <f>IF(Zadání!$C$27=1,PMT(Zadání!$C$51/12,24,-(($E$11-D38)+($E$11*Zadání!$G$52)),,1),PMT(Zadání!$E$51/12,24,-(($E$11-D38)+($E$11*Zadání!$G$52)),,1))</f>
        <v>5706.6698622245785</v>
      </c>
      <c r="G38" s="229">
        <f>F38*(1+Zadání!$C$7)</f>
        <v>6848.003834669494</v>
      </c>
      <c r="H38" s="246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</row>
    <row r="39" spans="1:22" s="248" customFormat="1" ht="12.75" customHeight="1">
      <c r="A39" s="245"/>
      <c r="B39" s="246"/>
      <c r="C39" s="249">
        <v>0.3</v>
      </c>
      <c r="D39" s="227">
        <f>$E$11*C39</f>
        <v>45000</v>
      </c>
      <c r="E39" s="228">
        <f>D39*(1+Zadání!$C$7)</f>
        <v>54000</v>
      </c>
      <c r="F39" s="227">
        <f>IF(Zadání!$C$27=1,PMT(Zadání!$C$51/12,24,-(($E$11-D39)+($E$11*Zadání!$G$52)),,1),PMT(Zadání!$E$51/12,24,-(($E$11-D39)+($E$11*Zadání!$G$52)),,1))</f>
        <v>5358.702187698689</v>
      </c>
      <c r="G39" s="229">
        <f>F39*(1+Zadání!$C$7)</f>
        <v>6430.442625238426</v>
      </c>
      <c r="H39" s="246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</row>
    <row r="40" spans="1:22" s="248" customFormat="1" ht="12.75" customHeight="1">
      <c r="A40" s="245"/>
      <c r="B40" s="246"/>
      <c r="C40" s="250">
        <v>0.4</v>
      </c>
      <c r="D40" s="230">
        <f>$E$11*C40</f>
        <v>60000</v>
      </c>
      <c r="E40" s="231">
        <f>D40*(1+Zadání!$C$7)</f>
        <v>72000</v>
      </c>
      <c r="F40" s="230">
        <f>IF(Zadání!$C$27=1,PMT(Zadání!$C$51/12,24,-(($E$11-D40)+($E$11*Zadání!$G$52)),,1),PMT(Zadání!$E$51/12,24,-(($E$11-D40)+($E$11*Zadání!$G$52)),,1))</f>
        <v>4662.766838646911</v>
      </c>
      <c r="G40" s="232">
        <f>F40*(1+Zadání!$C$7)</f>
        <v>5595.320206376294</v>
      </c>
      <c r="H40" s="246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</row>
    <row r="41" spans="1:22" s="236" customFormat="1" ht="36.75" customHeight="1">
      <c r="A41" s="233"/>
      <c r="B41" s="234"/>
      <c r="C41" s="234"/>
      <c r="D41" s="234"/>
      <c r="E41" s="234"/>
      <c r="F41" s="234"/>
      <c r="G41" s="234"/>
      <c r="H41" s="234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</row>
    <row r="42" spans="1:22" s="216" customFormat="1" ht="9.75" customHeight="1">
      <c r="A42" s="214"/>
      <c r="B42" s="203" t="s">
        <v>4</v>
      </c>
      <c r="D42" s="174"/>
      <c r="E42" s="174"/>
      <c r="F42" s="174"/>
      <c r="G42" s="174"/>
      <c r="H42" s="17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</row>
    <row r="43" spans="1:22" s="221" customFormat="1" ht="2.25" customHeight="1" thickBot="1">
      <c r="A43" s="215"/>
      <c r="B43" s="220"/>
      <c r="C43" s="220"/>
      <c r="D43" s="220"/>
      <c r="E43" s="220"/>
      <c r="F43" s="220"/>
      <c r="G43" s="220"/>
      <c r="H43" s="220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</row>
    <row r="44" spans="1:22" s="216" customFormat="1" ht="12" customHeight="1">
      <c r="A44" s="214"/>
      <c r="B44" s="203"/>
      <c r="C44" s="203" t="str">
        <f>Zadání!B206</f>
        <v>EUROLEASING 1/2010</v>
      </c>
      <c r="D44" s="174"/>
      <c r="E44" s="174"/>
      <c r="F44" s="174"/>
      <c r="G44" s="304">
        <f ca="1">NOW()</f>
        <v>40231.6260875</v>
      </c>
      <c r="H44" s="30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</row>
    <row r="45" spans="1:22" s="6" customFormat="1" ht="1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s="17" customFormat="1" ht="15" customHeight="1">
      <c r="A46" s="16"/>
      <c r="B46" s="16"/>
      <c r="C46" s="16"/>
      <c r="D46" s="66"/>
      <c r="E46" s="66"/>
      <c r="F46" s="66"/>
      <c r="G46" s="6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1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" customHeight="1">
      <c r="A48" s="16"/>
      <c r="B48" s="16"/>
      <c r="C48" s="19"/>
      <c r="D48" s="16"/>
      <c r="E48" s="69"/>
      <c r="F48" s="6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" customHeight="1">
      <c r="A49" s="16"/>
      <c r="B49" s="16"/>
      <c r="C49" s="16"/>
      <c r="D49" s="65"/>
      <c r="E49" s="65"/>
      <c r="F49" s="65"/>
      <c r="G49" s="65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" customHeight="1">
      <c r="A50" s="16"/>
      <c r="B50" s="16"/>
      <c r="C50" s="16"/>
      <c r="D50" s="66"/>
      <c r="E50" s="66"/>
      <c r="F50" s="66"/>
      <c r="G50" s="6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15" customHeight="1">
      <c r="A51" s="16"/>
      <c r="B51" s="16"/>
      <c r="C51" s="16"/>
      <c r="D51" s="67"/>
      <c r="E51" s="67"/>
      <c r="F51" s="67"/>
      <c r="G51" s="67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15" customHeight="1">
      <c r="A52" s="16"/>
      <c r="B52" s="16"/>
      <c r="C52" s="16"/>
      <c r="D52" s="67"/>
      <c r="E52" s="67"/>
      <c r="F52" s="67"/>
      <c r="G52" s="67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5" customHeight="1">
      <c r="A53" s="16"/>
      <c r="B53" s="16"/>
      <c r="C53" s="16"/>
      <c r="D53" s="67"/>
      <c r="E53" s="67"/>
      <c r="F53" s="67"/>
      <c r="G53" s="67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" customHeight="1">
      <c r="A54" s="16"/>
      <c r="B54" s="16"/>
      <c r="C54" s="16"/>
      <c r="D54" s="67"/>
      <c r="E54" s="67"/>
      <c r="F54" s="67"/>
      <c r="G54" s="67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15" customHeight="1">
      <c r="A55" s="16"/>
      <c r="B55" s="16"/>
      <c r="C55" s="16"/>
      <c r="D55" s="67"/>
      <c r="E55" s="67"/>
      <c r="F55" s="67"/>
      <c r="G55" s="67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" customHeight="1">
      <c r="A56" s="16"/>
      <c r="B56" s="16"/>
      <c r="C56" s="16"/>
      <c r="D56" s="67"/>
      <c r="E56" s="67"/>
      <c r="F56" s="67"/>
      <c r="G56" s="67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8" customFormat="1" ht="15" customHeight="1">
      <c r="A57" s="19"/>
      <c r="B57" s="19"/>
      <c r="C57" s="19"/>
      <c r="D57" s="68"/>
      <c r="E57" s="68"/>
      <c r="F57" s="68"/>
      <c r="G57" s="68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s="17" customFormat="1" ht="1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6" customFormat="1" ht="1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s="17" customFormat="1" ht="15" customHeight="1">
      <c r="A60" s="16"/>
      <c r="B60" s="16"/>
      <c r="C60" s="19"/>
      <c r="D60" s="16"/>
      <c r="E60" s="69"/>
      <c r="F60" s="6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15" customHeight="1">
      <c r="A61" s="16"/>
      <c r="B61" s="16"/>
      <c r="C61" s="16"/>
      <c r="D61" s="65"/>
      <c r="E61" s="65"/>
      <c r="F61" s="65"/>
      <c r="G61" s="65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" customHeight="1">
      <c r="A62" s="16"/>
      <c r="B62" s="16"/>
      <c r="C62" s="16"/>
      <c r="D62" s="66"/>
      <c r="E62" s="66"/>
      <c r="F62" s="66"/>
      <c r="G62" s="6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15" customHeight="1">
      <c r="A63" s="16"/>
      <c r="B63" s="16"/>
      <c r="C63" s="16"/>
      <c r="D63" s="67"/>
      <c r="E63" s="67"/>
      <c r="F63" s="67"/>
      <c r="G63" s="67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" customHeight="1">
      <c r="A64" s="16"/>
      <c r="B64" s="16"/>
      <c r="C64" s="16"/>
      <c r="D64" s="67"/>
      <c r="E64" s="67"/>
      <c r="F64" s="67"/>
      <c r="G64" s="67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17" customFormat="1" ht="15" customHeight="1">
      <c r="A65" s="16"/>
      <c r="B65" s="16"/>
      <c r="C65" s="16"/>
      <c r="D65" s="67"/>
      <c r="E65" s="67"/>
      <c r="F65" s="67"/>
      <c r="G65" s="67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s="17" customFormat="1" ht="15" customHeight="1">
      <c r="A66" s="16"/>
      <c r="B66" s="16"/>
      <c r="C66" s="16"/>
      <c r="D66" s="67"/>
      <c r="E66" s="67"/>
      <c r="F66" s="67"/>
      <c r="G66" s="67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15" customHeight="1">
      <c r="A67" s="16"/>
      <c r="B67" s="16"/>
      <c r="C67" s="16"/>
      <c r="D67" s="67"/>
      <c r="E67" s="67"/>
      <c r="F67" s="67"/>
      <c r="G67" s="67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" customHeight="1">
      <c r="A68" s="16"/>
      <c r="B68" s="16"/>
      <c r="C68" s="16"/>
      <c r="D68" s="67"/>
      <c r="E68" s="67"/>
      <c r="F68" s="67"/>
      <c r="G68" s="67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8" customFormat="1" ht="15" customHeight="1">
      <c r="A69" s="19"/>
      <c r="B69" s="19"/>
      <c r="C69" s="19"/>
      <c r="D69" s="68"/>
      <c r="E69" s="68"/>
      <c r="F69" s="68"/>
      <c r="G69" s="68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s="6" customFormat="1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s="6" customFormat="1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s="17" customFormat="1" ht="15" customHeight="1">
      <c r="A72" s="16"/>
      <c r="B72" s="16"/>
      <c r="C72" s="19"/>
      <c r="D72" s="16"/>
      <c r="E72" s="69"/>
      <c r="F72" s="6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15" customHeight="1">
      <c r="A73" s="16"/>
      <c r="B73" s="16"/>
      <c r="C73" s="16"/>
      <c r="D73" s="65"/>
      <c r="E73" s="65"/>
      <c r="F73" s="65"/>
      <c r="G73" s="65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" customHeight="1">
      <c r="A74" s="16"/>
      <c r="B74" s="16"/>
      <c r="C74" s="16"/>
      <c r="D74" s="66"/>
      <c r="E74" s="66"/>
      <c r="F74" s="66"/>
      <c r="G74" s="6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15" customHeight="1">
      <c r="A75" s="16"/>
      <c r="B75" s="16"/>
      <c r="C75" s="16"/>
      <c r="D75" s="67"/>
      <c r="E75" s="67"/>
      <c r="F75" s="67"/>
      <c r="G75" s="67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" customHeight="1">
      <c r="A76" s="16"/>
      <c r="B76" s="16"/>
      <c r="C76" s="16"/>
      <c r="D76" s="67"/>
      <c r="E76" s="67"/>
      <c r="F76" s="67"/>
      <c r="G76" s="67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17" customFormat="1" ht="15" customHeight="1">
      <c r="A77" s="16"/>
      <c r="B77" s="16"/>
      <c r="C77" s="16"/>
      <c r="D77" s="67"/>
      <c r="E77" s="67"/>
      <c r="F77" s="67"/>
      <c r="G77" s="67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s="17" customFormat="1" ht="15" customHeight="1">
      <c r="A78" s="16"/>
      <c r="B78" s="16"/>
      <c r="C78" s="16"/>
      <c r="D78" s="67"/>
      <c r="E78" s="67"/>
      <c r="F78" s="67"/>
      <c r="G78" s="67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15" customHeight="1">
      <c r="A79" s="16"/>
      <c r="B79" s="16"/>
      <c r="C79" s="16"/>
      <c r="D79" s="67"/>
      <c r="E79" s="67"/>
      <c r="F79" s="67"/>
      <c r="G79" s="67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" customHeight="1">
      <c r="A80" s="16"/>
      <c r="B80" s="16"/>
      <c r="C80" s="16"/>
      <c r="D80" s="67"/>
      <c r="E80" s="67"/>
      <c r="F80" s="67"/>
      <c r="G80" s="67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8" customFormat="1" ht="15" customHeight="1">
      <c r="A81" s="19"/>
      <c r="B81" s="19"/>
      <c r="C81" s="19"/>
      <c r="D81" s="68"/>
      <c r="E81" s="68"/>
      <c r="F81" s="68"/>
      <c r="G81" s="68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s="6" customFormat="1" ht="1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s="6" customFormat="1" ht="1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s="6" customFormat="1" ht="1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="5" customFormat="1" ht="15" customHeight="1"/>
    <row r="86" s="5" customFormat="1" ht="15" customHeight="1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</sheetData>
  <sheetProtection password="DBB2" sheet="1" objects="1" scenarios="1"/>
  <mergeCells count="10">
    <mergeCell ref="B9:H9"/>
    <mergeCell ref="G44:H44"/>
    <mergeCell ref="C14:E14"/>
    <mergeCell ref="F14:G14"/>
    <mergeCell ref="C21:E21"/>
    <mergeCell ref="F21:G21"/>
    <mergeCell ref="C28:E28"/>
    <mergeCell ref="F28:G28"/>
    <mergeCell ref="C35:E35"/>
    <mergeCell ref="F35:G35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74"/>
  <sheetViews>
    <sheetView workbookViewId="0" topLeftCell="A7">
      <selection activeCell="E35" sqref="E35:E36"/>
    </sheetView>
  </sheetViews>
  <sheetFormatPr defaultColWidth="9.00390625" defaultRowHeight="12.75"/>
  <cols>
    <col min="1" max="1" width="1.875" style="2" customWidth="1"/>
    <col min="2" max="2" width="1.875" style="1" customWidth="1"/>
    <col min="3" max="3" width="17.125" style="0" customWidth="1"/>
    <col min="4" max="4" width="21.875" style="0" customWidth="1"/>
    <col min="5" max="5" width="20.75390625" style="0" customWidth="1"/>
    <col min="6" max="6" width="10.00390625" style="0" customWidth="1"/>
    <col min="7" max="7" width="8.00390625" style="0" customWidth="1"/>
    <col min="8" max="8" width="6.125" style="0" customWidth="1"/>
    <col min="9" max="9" width="1.00390625" style="0" customWidth="1"/>
    <col min="10" max="23" width="9.125" style="2" customWidth="1"/>
  </cols>
  <sheetData>
    <row r="1" spans="1:23" s="13" customFormat="1" ht="12.75" customHeight="1">
      <c r="A1" s="12"/>
      <c r="B1" s="218" t="str">
        <f>IF(Zadání!C195=1," pobočka Praha 2",IF(Zadání!C195=2," pobočka Rakovník",Zadání!C19))</f>
        <v> pobočka Rakovník</v>
      </c>
      <c r="C1" s="219"/>
      <c r="D1" s="11"/>
      <c r="E1" s="11"/>
      <c r="F1" s="11"/>
      <c r="G1" s="11"/>
      <c r="H1" s="1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s="13" customFormat="1" ht="12.75" customHeight="1">
      <c r="A2" s="12"/>
      <c r="B2" s="176" t="str">
        <f>IF(Zadání!C195=1," Sekaninova 52, PSČ: 128 00",IF(Zadání!C195=2," Vysoká 273, PSČ: 269 01",Zadání!C20))</f>
        <v> Vysoká 273, PSČ: 269 01</v>
      </c>
      <c r="C2" s="219"/>
      <c r="D2" s="11"/>
      <c r="E2" s="11"/>
      <c r="F2" s="11"/>
      <c r="G2" s="11"/>
      <c r="H2" s="11"/>
      <c r="I2" s="1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s="13" customFormat="1" ht="12.75" customHeight="1">
      <c r="A3" s="12"/>
      <c r="B3" s="176" t="str">
        <f>IF(Zadání!C195=1," tel.: 224 936 262-3",IF(Zadání!C195=2," tel.: 313 515 742-3",Zadání!C21))</f>
        <v> tel.: 313 515 742-3</v>
      </c>
      <c r="C3" s="219"/>
      <c r="D3" s="11"/>
      <c r="E3" s="11"/>
      <c r="F3" s="11"/>
      <c r="G3" s="11"/>
      <c r="H3" s="11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s="13" customFormat="1" ht="12.75" customHeight="1">
      <c r="A4" s="12"/>
      <c r="B4" s="176" t="str">
        <f>IF(Zadání!C195=1," fax: 261 220 074",IF(Zadání!C195=2," fax: 313 516 260",Zadání!C22))</f>
        <v> fax: 313 516 260</v>
      </c>
      <c r="C4" s="175"/>
      <c r="D4" s="11"/>
      <c r="E4" s="11"/>
      <c r="F4" s="11"/>
      <c r="G4" s="11"/>
      <c r="H4" s="11"/>
      <c r="I4" s="11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13" customFormat="1" ht="12.75" customHeight="1">
      <c r="A5" s="12"/>
      <c r="B5" s="176" t="str">
        <f>IF(Zadání!C195=1," e-mail: praha@euroleasing.cz",IF(Zadání!C195=2," e-mail: rakovník@euroleasing.cz",Zadání!C23))</f>
        <v> e-mail: rakovník@euroleasing.cz</v>
      </c>
      <c r="C5" s="175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13" customFormat="1" ht="12.75" customHeight="1">
      <c r="A6" s="12"/>
      <c r="B6" s="176" t="str">
        <f>IF(Zadání!C195=1," vyřizuje: Dagmar Veselá, 608 345 109",IF(Zadání!C195=2," vyřizuje: J.Komínková, 608 345 108",Zadání!C24))</f>
        <v> vyřizuje: J.Komínková, 608 345 108</v>
      </c>
      <c r="C6" s="175"/>
      <c r="D6" s="11"/>
      <c r="E6" s="11"/>
      <c r="F6" s="11"/>
      <c r="G6" s="11"/>
      <c r="H6" s="11"/>
      <c r="I6" s="11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13" customFormat="1" ht="7.5" customHeight="1">
      <c r="A7" s="12"/>
      <c r="B7" s="28"/>
      <c r="C7" s="25"/>
      <c r="D7" s="25"/>
      <c r="E7" s="25"/>
      <c r="F7" s="25"/>
      <c r="G7" s="25"/>
      <c r="H7" s="25"/>
      <c r="I7" s="1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23" customFormat="1" ht="36" customHeight="1">
      <c r="A8" s="22"/>
      <c r="B8" s="21"/>
      <c r="C8" s="15"/>
      <c r="D8" s="21"/>
      <c r="E8" s="21"/>
      <c r="F8" s="21"/>
      <c r="G8" s="14"/>
      <c r="H8" s="29"/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s="6" customFormat="1" ht="54.75" customHeight="1">
      <c r="A9" s="5"/>
      <c r="B9" s="310" t="s">
        <v>132</v>
      </c>
      <c r="C9" s="303"/>
      <c r="D9" s="303"/>
      <c r="E9" s="303"/>
      <c r="F9" s="303"/>
      <c r="G9" s="303"/>
      <c r="H9" s="303"/>
      <c r="I9" s="303"/>
      <c r="J9" s="8"/>
      <c r="K9" s="8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6" customFormat="1" ht="40.5" customHeight="1">
      <c r="A10" s="5"/>
      <c r="B10" s="4"/>
      <c r="C10" s="4"/>
      <c r="D10" s="4"/>
      <c r="E10" s="4"/>
      <c r="F10" s="4"/>
      <c r="G10" s="31"/>
      <c r="H10" s="30"/>
      <c r="I10" s="4"/>
      <c r="J10" s="8"/>
      <c r="K10" s="8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48" s="252" customFormat="1" ht="15.75" customHeight="1">
      <c r="A11" s="251"/>
      <c r="C11" s="353" t="s">
        <v>125</v>
      </c>
      <c r="D11" s="354"/>
      <c r="E11" s="266">
        <f>Zadání!C5</f>
        <v>150000</v>
      </c>
      <c r="G11" s="253"/>
      <c r="H11" s="253"/>
      <c r="J11" s="254"/>
      <c r="K11" s="254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</row>
    <row r="12" spans="1:48" s="252" customFormat="1" ht="15.75" customHeight="1">
      <c r="A12" s="251"/>
      <c r="C12" s="355" t="s">
        <v>126</v>
      </c>
      <c r="D12" s="356"/>
      <c r="E12" s="183">
        <f>(Zadání!C7+1)*E11</f>
        <v>180000</v>
      </c>
      <c r="H12" s="255"/>
      <c r="J12" s="254"/>
      <c r="K12" s="254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</row>
    <row r="13" spans="1:48" s="259" customFormat="1" ht="39.75" customHeight="1">
      <c r="A13" s="257"/>
      <c r="B13" s="258"/>
      <c r="C13" s="278" t="s">
        <v>35</v>
      </c>
      <c r="D13" s="258"/>
      <c r="E13" s="258"/>
      <c r="F13" s="258"/>
      <c r="G13" s="258"/>
      <c r="H13" s="258"/>
      <c r="I13" s="258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</row>
    <row r="14" spans="1:23" s="244" customFormat="1" ht="12.75" customHeight="1">
      <c r="A14" s="242"/>
      <c r="B14" s="243"/>
      <c r="C14" s="334" t="s">
        <v>135</v>
      </c>
      <c r="D14" s="335"/>
      <c r="E14" s="342" t="s">
        <v>48</v>
      </c>
      <c r="F14" s="344" t="s">
        <v>136</v>
      </c>
      <c r="G14" s="345"/>
      <c r="H14" s="346"/>
      <c r="I14" s="243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</row>
    <row r="15" spans="1:23" s="244" customFormat="1" ht="12.75" customHeight="1">
      <c r="A15" s="242"/>
      <c r="B15" s="243"/>
      <c r="C15" s="270" t="s">
        <v>0</v>
      </c>
      <c r="D15" s="256" t="s">
        <v>49</v>
      </c>
      <c r="E15" s="343"/>
      <c r="F15" s="347"/>
      <c r="G15" s="348"/>
      <c r="H15" s="349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</row>
    <row r="16" spans="1:23" s="248" customFormat="1" ht="12.75" customHeight="1">
      <c r="A16" s="245"/>
      <c r="B16" s="85"/>
      <c r="C16" s="247">
        <v>0.2</v>
      </c>
      <c r="D16" s="271">
        <f>C16*$E$12</f>
        <v>36000</v>
      </c>
      <c r="E16" s="272">
        <f>$E$12-$E$11</f>
        <v>30000</v>
      </c>
      <c r="F16" s="350">
        <f>IF(Zadání!$C$27=1,PMT(Zadání!$C$51/12,60,-(($E$12-D16)+($E$12*Zadání!$G$52)),,1),(PMT(15%/12,60,-($E$12-D16),,1))+(PMT(20%/12,60,-($E$11*Zadání!$G$52),,1)))</f>
        <v>3411.3502087376382</v>
      </c>
      <c r="G16" s="351"/>
      <c r="H16" s="352"/>
      <c r="I16" s="246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</row>
    <row r="17" spans="1:23" s="248" customFormat="1" ht="12.75" customHeight="1">
      <c r="A17" s="245"/>
      <c r="B17" s="246"/>
      <c r="C17" s="249">
        <v>0.3</v>
      </c>
      <c r="D17" s="273">
        <f>C17*$E$12</f>
        <v>54000</v>
      </c>
      <c r="E17" s="274">
        <f>$E$12-$E$11</f>
        <v>30000</v>
      </c>
      <c r="F17" s="336">
        <f>IF(Zadání!$C$27=1,PMT(Zadání!$C$51/12,60,-(($E$12-D17)+($E$12*Zadání!$G$52)),,1),(PMT(15%/12,60,-($E$12-D17),,1))+(PMT(20%/12,60,-($E$11*Zadání!$G$52),,1)))</f>
        <v>3019.240989342508</v>
      </c>
      <c r="G17" s="337"/>
      <c r="H17" s="338"/>
      <c r="I17" s="246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</row>
    <row r="18" spans="1:23" s="248" customFormat="1" ht="12.75" customHeight="1">
      <c r="A18" s="245"/>
      <c r="B18" s="246"/>
      <c r="C18" s="249">
        <v>0.4</v>
      </c>
      <c r="D18" s="273">
        <f>C18*$E$12</f>
        <v>72000</v>
      </c>
      <c r="E18" s="274">
        <f>$E$12-$E$11</f>
        <v>30000</v>
      </c>
      <c r="F18" s="336">
        <f>IF(Zadání!$C$27=1,PMT(Zadání!$C$51/12,60,-(($E$12-D18)+($E$12*Zadání!$G$52)),,1),(PMT(15%/12,60,-($E$12-D18),,1))+(PMT(20%/12,60,-($E$11*Zadání!$G$52),,1)))</f>
        <v>2627.131769947377</v>
      </c>
      <c r="G18" s="337"/>
      <c r="H18" s="338"/>
      <c r="I18" s="246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</row>
    <row r="19" spans="1:23" s="248" customFormat="1" ht="12.75" customHeight="1">
      <c r="A19" s="245"/>
      <c r="B19" s="246"/>
      <c r="C19" s="250">
        <v>0.5</v>
      </c>
      <c r="D19" s="275">
        <f>C19*$E$12</f>
        <v>90000</v>
      </c>
      <c r="E19" s="276">
        <f>$E$12-$E$11</f>
        <v>30000</v>
      </c>
      <c r="F19" s="339">
        <f>IF(Zadání!$C$27=1,PMT(Zadání!$C$51/12,60,-(($E$12-D19)+($E$12*Zadání!$G$52)),,1),(PMT(15%/12,60,-($E$12-D19),,1))+(PMT(20%/12,60,-($E$11*Zadání!$G$52),,1)))</f>
        <v>2235.022550552246</v>
      </c>
      <c r="G19" s="340"/>
      <c r="H19" s="341"/>
      <c r="I19" s="246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</row>
    <row r="20" spans="1:23" s="262" customFormat="1" ht="39.75" customHeight="1">
      <c r="A20" s="260"/>
      <c r="B20" s="261"/>
      <c r="C20" s="279" t="s">
        <v>1</v>
      </c>
      <c r="D20" s="261"/>
      <c r="E20" s="261"/>
      <c r="F20" s="261"/>
      <c r="G20" s="261"/>
      <c r="H20" s="261"/>
      <c r="I20" s="261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</row>
    <row r="21" spans="1:23" s="244" customFormat="1" ht="12.75" customHeight="1">
      <c r="A21" s="242"/>
      <c r="B21" s="243"/>
      <c r="C21" s="334" t="s">
        <v>135</v>
      </c>
      <c r="D21" s="335"/>
      <c r="E21" s="342" t="s">
        <v>48</v>
      </c>
      <c r="F21" s="344" t="s">
        <v>136</v>
      </c>
      <c r="G21" s="345"/>
      <c r="H21" s="346"/>
      <c r="I21" s="243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</row>
    <row r="22" spans="1:23" s="244" customFormat="1" ht="12.75" customHeight="1">
      <c r="A22" s="242"/>
      <c r="B22" s="243"/>
      <c r="C22" s="270" t="s">
        <v>0</v>
      </c>
      <c r="D22" s="256" t="s">
        <v>49</v>
      </c>
      <c r="E22" s="343"/>
      <c r="F22" s="347"/>
      <c r="G22" s="348"/>
      <c r="H22" s="349"/>
      <c r="I22" s="243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</row>
    <row r="23" spans="1:23" s="248" customFormat="1" ht="12.75" customHeight="1">
      <c r="A23" s="245"/>
      <c r="B23" s="246"/>
      <c r="C23" s="247">
        <v>0.2</v>
      </c>
      <c r="D23" s="271">
        <f>C23*$E$12</f>
        <v>36000</v>
      </c>
      <c r="E23" s="272">
        <f>$E$12-$E$11</f>
        <v>30000</v>
      </c>
      <c r="F23" s="350">
        <f>IF(Zadání!$C$27=1,PMT(Zadání!$C$51/12,48,-(($E$12-D23)+($E$12*Zadání!$G$52)),,1),(PMT(15%/12,48,-($E$12-D23),,1))+(PMT(20%/12,48,-($E$11*Zadání!$G$52),,1)))</f>
        <v>4046.7573698627516</v>
      </c>
      <c r="G23" s="351"/>
      <c r="H23" s="352"/>
      <c r="I23" s="246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</row>
    <row r="24" spans="1:23" s="248" customFormat="1" ht="12.75" customHeight="1">
      <c r="A24" s="245"/>
      <c r="B24" s="246"/>
      <c r="C24" s="249">
        <v>0.3</v>
      </c>
      <c r="D24" s="273">
        <f>C24*$E$12</f>
        <v>54000</v>
      </c>
      <c r="E24" s="274">
        <f>$E$12-$E$11</f>
        <v>30000</v>
      </c>
      <c r="F24" s="336">
        <f>IF(Zadání!$C$27=1,PMT(Zadání!$C$51/12,48,-(($E$12-D24)+($E$12*Zadání!$G$52)),,1),(PMT(15%/12,48,-($E$12-D24),,1))+(PMT(20%/12,48,-($E$11*Zadání!$G$52),,1)))</f>
        <v>3581.6128445911713</v>
      </c>
      <c r="G24" s="337"/>
      <c r="H24" s="338"/>
      <c r="I24" s="246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</row>
    <row r="25" spans="1:23" s="248" customFormat="1" ht="12.75" customHeight="1">
      <c r="A25" s="245"/>
      <c r="B25" s="246"/>
      <c r="C25" s="249">
        <v>0.4</v>
      </c>
      <c r="D25" s="273">
        <f>C25*$E$12</f>
        <v>72000</v>
      </c>
      <c r="E25" s="274">
        <f>$E$12-$E$11</f>
        <v>30000</v>
      </c>
      <c r="F25" s="336">
        <f>IF(Zadání!$C$27=1,PMT(Zadání!$C$51/12,48,-(($E$12-D25)+($E$12*Zadání!$G$52)),,1),(PMT(15%/12,48,-($E$12-D25),,1))+(PMT(20%/12,48,-($E$11*Zadání!$G$52),,1)))</f>
        <v>3116.46831931959</v>
      </c>
      <c r="G25" s="337"/>
      <c r="H25" s="338"/>
      <c r="I25" s="246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</row>
    <row r="26" spans="1:23" s="248" customFormat="1" ht="12.75" customHeight="1">
      <c r="A26" s="245"/>
      <c r="B26" s="246"/>
      <c r="C26" s="250">
        <v>0.5</v>
      </c>
      <c r="D26" s="275">
        <f>C26*$E$12</f>
        <v>90000</v>
      </c>
      <c r="E26" s="276">
        <f>$E$12-$E$11</f>
        <v>30000</v>
      </c>
      <c r="F26" s="339">
        <f>IF(Zadání!$C$27=1,PMT(Zadání!$C$51/12,48,-(($E$12-D26)+($E$12*Zadání!$G$52)),,1),(PMT(15%/12,48,-($E$12-D26),,1))+(PMT(20%/12,48,-($E$11*Zadání!$G$52),,1)))</f>
        <v>2651.32379404801</v>
      </c>
      <c r="G26" s="340"/>
      <c r="H26" s="341"/>
      <c r="I26" s="246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</row>
    <row r="27" spans="1:23" s="262" customFormat="1" ht="39.75" customHeight="1">
      <c r="A27" s="260"/>
      <c r="B27" s="261"/>
      <c r="C27" s="279" t="s">
        <v>2</v>
      </c>
      <c r="D27" s="261"/>
      <c r="E27" s="261"/>
      <c r="F27" s="261"/>
      <c r="G27" s="261"/>
      <c r="H27" s="261"/>
      <c r="I27" s="261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</row>
    <row r="28" spans="1:23" s="244" customFormat="1" ht="12.75" customHeight="1">
      <c r="A28" s="242"/>
      <c r="B28" s="243"/>
      <c r="C28" s="334" t="s">
        <v>135</v>
      </c>
      <c r="D28" s="335"/>
      <c r="E28" s="342" t="s">
        <v>48</v>
      </c>
      <c r="F28" s="344" t="s">
        <v>136</v>
      </c>
      <c r="G28" s="345"/>
      <c r="H28" s="346"/>
      <c r="I28" s="243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</row>
    <row r="29" spans="1:23" s="244" customFormat="1" ht="12.75" customHeight="1">
      <c r="A29" s="242"/>
      <c r="B29" s="243"/>
      <c r="C29" s="270" t="s">
        <v>0</v>
      </c>
      <c r="D29" s="256" t="s">
        <v>49</v>
      </c>
      <c r="E29" s="343"/>
      <c r="F29" s="347"/>
      <c r="G29" s="348"/>
      <c r="H29" s="349"/>
      <c r="I29" s="243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</row>
    <row r="30" spans="1:23" s="248" customFormat="1" ht="12.75" customHeight="1">
      <c r="A30" s="245"/>
      <c r="B30" s="246"/>
      <c r="C30" s="247">
        <v>0.2</v>
      </c>
      <c r="D30" s="271">
        <f>C30*$E$12</f>
        <v>36000</v>
      </c>
      <c r="E30" s="272">
        <f>$E$12-$E$11</f>
        <v>30000</v>
      </c>
      <c r="F30" s="350">
        <f>IF(Zadání!$C$27=1,PMT(Zadání!$C$51/12,36,-(($E$12-D30)+($E$12*Zadání!$G$52)),,1),(PMT(15%/12,36,-($E$12-D30),,1))+(PMT(20%/12,36,-($E$11*Zadání!$G$52),,1)))</f>
        <v>5115.023630917453</v>
      </c>
      <c r="G30" s="351"/>
      <c r="H30" s="352"/>
      <c r="I30" s="246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</row>
    <row r="31" spans="1:23" s="248" customFormat="1" ht="12.75" customHeight="1">
      <c r="A31" s="245"/>
      <c r="B31" s="246"/>
      <c r="C31" s="249">
        <v>0.3</v>
      </c>
      <c r="D31" s="273">
        <f>C31*$E$12</f>
        <v>54000</v>
      </c>
      <c r="E31" s="274">
        <f>$E$12-$E$11</f>
        <v>30000</v>
      </c>
      <c r="F31" s="336">
        <f>IF(Zadání!$C$27=1,PMT(Zadání!$C$51/12,36,-(($E$12-D31)+($E$12*Zadání!$G$52)),,1),(PMT(15%/12,36,-($E$12-D31),,1))+(PMT(20%/12,36,-($E$11*Zadání!$G$52),,1)))</f>
        <v>4527.089880237287</v>
      </c>
      <c r="G31" s="337"/>
      <c r="H31" s="338"/>
      <c r="I31" s="246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</row>
    <row r="32" spans="1:23" s="248" customFormat="1" ht="12.75" customHeight="1">
      <c r="A32" s="245"/>
      <c r="B32" s="246"/>
      <c r="C32" s="249">
        <v>0.4</v>
      </c>
      <c r="D32" s="273">
        <f>C32*$E$12</f>
        <v>72000</v>
      </c>
      <c r="E32" s="274">
        <f>$E$12-$E$11</f>
        <v>30000</v>
      </c>
      <c r="F32" s="336">
        <f>IF(Zadání!$C$27=1,PMT(Zadání!$C$51/12,36,-(($E$12-D32)+($E$12*Zadání!$G$52)),,1),(PMT(15%/12,36,-($E$12-D32),,1))+(PMT(20%/12,36,-($E$11*Zadání!$G$52),,1)))</f>
        <v>3939.1561295571196</v>
      </c>
      <c r="G32" s="337"/>
      <c r="H32" s="338"/>
      <c r="I32" s="246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</row>
    <row r="33" spans="1:23" s="248" customFormat="1" ht="12.75" customHeight="1">
      <c r="A33" s="245"/>
      <c r="B33" s="246"/>
      <c r="C33" s="250">
        <v>0.5</v>
      </c>
      <c r="D33" s="275">
        <f>C33*$E$12</f>
        <v>90000</v>
      </c>
      <c r="E33" s="276">
        <f>$E$12-$E$11</f>
        <v>30000</v>
      </c>
      <c r="F33" s="339">
        <f>IF(Zadání!$C$27=1,PMT(Zadání!$C$51/12,36,-(($E$12-D33)+($E$12*Zadání!$G$52)),,1),(PMT(15%/12,36,-($E$12-D33),,1))+(PMT(20%/12,36,-($E$11*Zadání!$G$52),,1)))</f>
        <v>3351.222378876952</v>
      </c>
      <c r="G33" s="340"/>
      <c r="H33" s="341"/>
      <c r="I33" s="246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</row>
    <row r="34" spans="1:23" s="262" customFormat="1" ht="39.75" customHeight="1">
      <c r="A34" s="260"/>
      <c r="B34" s="261"/>
      <c r="C34" s="279" t="s">
        <v>3</v>
      </c>
      <c r="D34" s="261"/>
      <c r="E34" s="261"/>
      <c r="F34" s="261"/>
      <c r="G34" s="261"/>
      <c r="H34" s="261"/>
      <c r="I34" s="261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</row>
    <row r="35" spans="1:23" s="244" customFormat="1" ht="12.75" customHeight="1">
      <c r="A35" s="242"/>
      <c r="B35" s="243"/>
      <c r="C35" s="334" t="s">
        <v>135</v>
      </c>
      <c r="D35" s="335"/>
      <c r="E35" s="342" t="s">
        <v>48</v>
      </c>
      <c r="F35" s="344" t="s">
        <v>136</v>
      </c>
      <c r="G35" s="345"/>
      <c r="H35" s="346"/>
      <c r="I35" s="243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</row>
    <row r="36" spans="1:23" s="244" customFormat="1" ht="12.75" customHeight="1">
      <c r="A36" s="242"/>
      <c r="B36" s="243"/>
      <c r="C36" s="270" t="s">
        <v>0</v>
      </c>
      <c r="D36" s="256" t="s">
        <v>49</v>
      </c>
      <c r="E36" s="343"/>
      <c r="F36" s="347"/>
      <c r="G36" s="348"/>
      <c r="H36" s="349"/>
      <c r="I36" s="243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</row>
    <row r="37" spans="1:23" s="248" customFormat="1" ht="12.75" customHeight="1">
      <c r="A37" s="245"/>
      <c r="B37" s="246"/>
      <c r="C37" s="247">
        <v>0.2</v>
      </c>
      <c r="D37" s="271">
        <f>C37*$E$12</f>
        <v>36000</v>
      </c>
      <c r="E37" s="272">
        <f>$E$12-$E$11</f>
        <v>30000</v>
      </c>
      <c r="F37" s="350">
        <f>IF(Zadání!$C$27=1,PMT(Zadání!$C$51/12,24,-(($E$12-D37)+($E$12*Zadání!$G$52)),,1),(PMT(15%/12,24,-($E$12-D37),,1))+(PMT(20%/12,24,-($E$11*Zadání!$G$52),,1)))</f>
        <v>7265.56504410056</v>
      </c>
      <c r="G37" s="351"/>
      <c r="H37" s="352"/>
      <c r="I37" s="246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</row>
    <row r="38" spans="1:23" s="248" customFormat="1" ht="12.75" customHeight="1">
      <c r="A38" s="245"/>
      <c r="B38" s="246"/>
      <c r="C38" s="249">
        <v>0.3</v>
      </c>
      <c r="D38" s="273">
        <f>C38*$E$12</f>
        <v>54000</v>
      </c>
      <c r="E38" s="274">
        <f>$E$12-$E$11</f>
        <v>30000</v>
      </c>
      <c r="F38" s="336">
        <f>IF(Zadání!$C$27=1,PMT(Zadání!$C$51/12,24,-(($E$12-D38)+($E$12*Zadání!$G$52)),,1),(PMT(15%/12,24,-($E$12-D38),,1))+(PMT(20%/12,24,-($E$11*Zadání!$G$52),,1)))</f>
        <v>6430.442625238426</v>
      </c>
      <c r="G38" s="337"/>
      <c r="H38" s="338"/>
      <c r="I38" s="246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</row>
    <row r="39" spans="1:23" s="248" customFormat="1" ht="12.75" customHeight="1">
      <c r="A39" s="245"/>
      <c r="B39" s="246"/>
      <c r="C39" s="249">
        <v>0.4</v>
      </c>
      <c r="D39" s="273">
        <f>C39*$E$12</f>
        <v>72000</v>
      </c>
      <c r="E39" s="274">
        <f>$E$12-$E$11</f>
        <v>30000</v>
      </c>
      <c r="F39" s="336">
        <f>IF(Zadání!$C$27=1,PMT(Zadání!$C$51/12,24,-(($E$12-D39)+($E$12*Zadání!$G$52)),,1),(PMT(15%/12,24,-($E$12-D39),,1))+(PMT(20%/12,24,-($E$11*Zadání!$G$52),,1)))</f>
        <v>5595.320206376294</v>
      </c>
      <c r="G39" s="337"/>
      <c r="H39" s="338"/>
      <c r="I39" s="246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</row>
    <row r="40" spans="1:23" s="248" customFormat="1" ht="12.75" customHeight="1">
      <c r="A40" s="245"/>
      <c r="B40" s="246"/>
      <c r="C40" s="250">
        <v>0.5</v>
      </c>
      <c r="D40" s="275">
        <f>C40*$E$12</f>
        <v>90000</v>
      </c>
      <c r="E40" s="276">
        <f>$E$12-$E$11</f>
        <v>30000</v>
      </c>
      <c r="F40" s="339">
        <f>IF(Zadání!$C$27=1,PMT(Zadání!$C$51/12,24,-(($E$12-D40)+($E$12*Zadání!$G$52)),,1),(PMT(15%/12,24,-($E$12-D40),,1))+(PMT(20%/12,24,-($E$11*Zadání!$G$52),,1)))</f>
        <v>4760.19778751416</v>
      </c>
      <c r="G40" s="340"/>
      <c r="H40" s="341"/>
      <c r="I40" s="246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</row>
    <row r="41" spans="1:23" s="265" customFormat="1" ht="36" customHeight="1">
      <c r="A41" s="263"/>
      <c r="B41" s="264"/>
      <c r="C41" s="264"/>
      <c r="D41" s="264"/>
      <c r="E41" s="264"/>
      <c r="F41" s="264"/>
      <c r="G41" s="264"/>
      <c r="H41" s="264"/>
      <c r="I41" s="264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</row>
    <row r="42" spans="1:22" s="216" customFormat="1" ht="9.75" customHeight="1">
      <c r="A42" s="214"/>
      <c r="B42" s="203" t="s">
        <v>4</v>
      </c>
      <c r="D42" s="174"/>
      <c r="E42" s="174"/>
      <c r="F42" s="174"/>
      <c r="G42" s="174"/>
      <c r="H42" s="174"/>
      <c r="I42" s="17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</row>
    <row r="43" spans="1:22" s="221" customFormat="1" ht="2.25" customHeight="1" thickBot="1">
      <c r="A43" s="215"/>
      <c r="B43" s="220"/>
      <c r="C43" s="220"/>
      <c r="D43" s="220"/>
      <c r="E43" s="220"/>
      <c r="F43" s="220"/>
      <c r="G43" s="220"/>
      <c r="H43" s="220"/>
      <c r="I43" s="217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</row>
    <row r="44" spans="1:22" s="216" customFormat="1" ht="10.5" customHeight="1">
      <c r="A44" s="214"/>
      <c r="B44" s="203"/>
      <c r="C44" s="203" t="str">
        <f>Zadání!B206</f>
        <v>EUROLEASING 1/2010</v>
      </c>
      <c r="D44" s="174"/>
      <c r="E44" s="174"/>
      <c r="F44" s="174"/>
      <c r="G44" s="304">
        <f ca="1">NOW()</f>
        <v>40231.6260875</v>
      </c>
      <c r="H44" s="304"/>
      <c r="I44" s="17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</row>
    <row r="45" spans="1:23" s="17" customFormat="1" ht="15" customHeight="1">
      <c r="A45" s="16"/>
      <c r="B45" s="16"/>
      <c r="C45" s="16"/>
      <c r="D45" s="67"/>
      <c r="E45" s="67"/>
      <c r="F45" s="67"/>
      <c r="G45" s="67"/>
      <c r="H45" s="67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s="17" customFormat="1" ht="15" customHeight="1">
      <c r="A46" s="16"/>
      <c r="B46" s="16"/>
      <c r="C46" s="16"/>
      <c r="D46" s="67"/>
      <c r="E46" s="67"/>
      <c r="F46" s="67"/>
      <c r="G46" s="67"/>
      <c r="H46" s="67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s="17" customFormat="1" ht="15" customHeight="1">
      <c r="A47" s="16"/>
      <c r="B47" s="16"/>
      <c r="C47" s="16"/>
      <c r="D47" s="67"/>
      <c r="E47" s="67"/>
      <c r="F47" s="67"/>
      <c r="G47" s="67"/>
      <c r="H47" s="67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s="18" customFormat="1" ht="15" customHeight="1">
      <c r="A48" s="19"/>
      <c r="B48" s="19"/>
      <c r="C48" s="19"/>
      <c r="D48" s="68"/>
      <c r="E48" s="68"/>
      <c r="F48" s="68"/>
      <c r="G48" s="68"/>
      <c r="H48" s="68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:23" s="17" customFormat="1" ht="15" customHeight="1">
      <c r="A49" s="16"/>
      <c r="B49" s="16"/>
      <c r="C49" s="16"/>
      <c r="D49" s="66"/>
      <c r="E49" s="66"/>
      <c r="F49" s="66"/>
      <c r="G49" s="66"/>
      <c r="H49" s="6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 s="17" customFormat="1" ht="1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s="17" customFormat="1" ht="15" customHeight="1">
      <c r="A51" s="16"/>
      <c r="B51" s="16"/>
      <c r="C51" s="19"/>
      <c r="D51" s="16"/>
      <c r="E51" s="69"/>
      <c r="F51" s="6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s="17" customFormat="1" ht="15" customHeight="1">
      <c r="A52" s="16"/>
      <c r="B52" s="16"/>
      <c r="C52" s="16"/>
      <c r="D52" s="65"/>
      <c r="E52" s="65"/>
      <c r="F52" s="65"/>
      <c r="G52" s="65"/>
      <c r="H52" s="6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s="17" customFormat="1" ht="15" customHeight="1">
      <c r="A53" s="16"/>
      <c r="B53" s="16"/>
      <c r="C53" s="16"/>
      <c r="D53" s="66"/>
      <c r="E53" s="66"/>
      <c r="F53" s="66"/>
      <c r="G53" s="66"/>
      <c r="H53" s="6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s="17" customFormat="1" ht="15" customHeight="1">
      <c r="A54" s="16"/>
      <c r="B54" s="16"/>
      <c r="C54" s="16"/>
      <c r="D54" s="67"/>
      <c r="E54" s="67"/>
      <c r="F54" s="67"/>
      <c r="G54" s="67"/>
      <c r="H54" s="6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s="17" customFormat="1" ht="15" customHeight="1">
      <c r="A55" s="16"/>
      <c r="B55" s="16"/>
      <c r="C55" s="16"/>
      <c r="D55" s="67"/>
      <c r="E55" s="67"/>
      <c r="F55" s="67"/>
      <c r="G55" s="67"/>
      <c r="H55" s="6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s="17" customFormat="1" ht="15" customHeight="1">
      <c r="A56" s="16"/>
      <c r="B56" s="16"/>
      <c r="C56" s="16"/>
      <c r="D56" s="67"/>
      <c r="E56" s="67"/>
      <c r="F56" s="67"/>
      <c r="G56" s="67"/>
      <c r="H56" s="6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s="17" customFormat="1" ht="15" customHeight="1">
      <c r="A57" s="16"/>
      <c r="B57" s="16"/>
      <c r="C57" s="16"/>
      <c r="D57" s="67"/>
      <c r="E57" s="67"/>
      <c r="F57" s="67"/>
      <c r="G57" s="67"/>
      <c r="H57" s="67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s="17" customFormat="1" ht="15" customHeight="1">
      <c r="A58" s="16"/>
      <c r="B58" s="16"/>
      <c r="C58" s="16"/>
      <c r="D58" s="67"/>
      <c r="E58" s="67"/>
      <c r="F58" s="67"/>
      <c r="G58" s="67"/>
      <c r="H58" s="67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s="17" customFormat="1" ht="15" customHeight="1">
      <c r="A59" s="16"/>
      <c r="B59" s="16"/>
      <c r="C59" s="16"/>
      <c r="D59" s="67"/>
      <c r="E59" s="67"/>
      <c r="F59" s="67"/>
      <c r="G59" s="67"/>
      <c r="H59" s="67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s="18" customFormat="1" ht="15" customHeight="1">
      <c r="A60" s="19"/>
      <c r="B60" s="19"/>
      <c r="C60" s="19"/>
      <c r="D60" s="68"/>
      <c r="E60" s="68"/>
      <c r="F60" s="68"/>
      <c r="G60" s="68"/>
      <c r="H60" s="68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3" s="17" customFormat="1" ht="1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3" s="6" customFormat="1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s="17" customFormat="1" ht="15" customHeight="1">
      <c r="A63" s="16"/>
      <c r="B63" s="16"/>
      <c r="C63" s="19"/>
      <c r="D63" s="16"/>
      <c r="E63" s="69"/>
      <c r="F63" s="6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s="17" customFormat="1" ht="15" customHeight="1">
      <c r="A64" s="16"/>
      <c r="B64" s="16"/>
      <c r="C64" s="16"/>
      <c r="D64" s="65"/>
      <c r="E64" s="65"/>
      <c r="F64" s="65"/>
      <c r="G64" s="65"/>
      <c r="H64" s="65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3" s="17" customFormat="1" ht="15" customHeight="1">
      <c r="A65" s="16"/>
      <c r="B65" s="16"/>
      <c r="C65" s="16"/>
      <c r="D65" s="66"/>
      <c r="E65" s="66"/>
      <c r="F65" s="66"/>
      <c r="G65" s="66"/>
      <c r="H65" s="6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s="17" customFormat="1" ht="15" customHeight="1">
      <c r="A66" s="16"/>
      <c r="B66" s="16"/>
      <c r="C66" s="16"/>
      <c r="D66" s="67"/>
      <c r="E66" s="67"/>
      <c r="F66" s="67"/>
      <c r="G66" s="67"/>
      <c r="H66" s="67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1:23" s="17" customFormat="1" ht="15" customHeight="1">
      <c r="A67" s="16"/>
      <c r="B67" s="16"/>
      <c r="C67" s="16"/>
      <c r="D67" s="67"/>
      <c r="E67" s="67"/>
      <c r="F67" s="67"/>
      <c r="G67" s="67"/>
      <c r="H67" s="67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1:23" s="17" customFormat="1" ht="15" customHeight="1">
      <c r="A68" s="16"/>
      <c r="B68" s="16"/>
      <c r="C68" s="16"/>
      <c r="D68" s="67"/>
      <c r="E68" s="67"/>
      <c r="F68" s="67"/>
      <c r="G68" s="67"/>
      <c r="H68" s="67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 s="17" customFormat="1" ht="15" customHeight="1">
      <c r="A69" s="16"/>
      <c r="B69" s="16"/>
      <c r="C69" s="16"/>
      <c r="D69" s="67"/>
      <c r="E69" s="67"/>
      <c r="F69" s="67"/>
      <c r="G69" s="67"/>
      <c r="H69" s="67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1:23" s="17" customFormat="1" ht="15" customHeight="1">
      <c r="A70" s="16"/>
      <c r="B70" s="16"/>
      <c r="C70" s="16"/>
      <c r="D70" s="67"/>
      <c r="E70" s="67"/>
      <c r="F70" s="67"/>
      <c r="G70" s="67"/>
      <c r="H70" s="67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3" s="17" customFormat="1" ht="15" customHeight="1">
      <c r="A71" s="16"/>
      <c r="B71" s="16"/>
      <c r="C71" s="16"/>
      <c r="D71" s="67"/>
      <c r="E71" s="67"/>
      <c r="F71" s="67"/>
      <c r="G71" s="67"/>
      <c r="H71" s="67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3" s="18" customFormat="1" ht="15" customHeight="1">
      <c r="A72" s="19"/>
      <c r="B72" s="19"/>
      <c r="C72" s="19"/>
      <c r="D72" s="68"/>
      <c r="E72" s="68"/>
      <c r="F72" s="68"/>
      <c r="G72" s="68"/>
      <c r="H72" s="68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1:23" s="6" customFormat="1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s="6" customFormat="1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s="17" customFormat="1" ht="15" customHeight="1">
      <c r="A75" s="16"/>
      <c r="B75" s="16"/>
      <c r="C75" s="19"/>
      <c r="D75" s="16"/>
      <c r="E75" s="69"/>
      <c r="F75" s="6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</row>
    <row r="76" spans="1:23" s="17" customFormat="1" ht="15" customHeight="1">
      <c r="A76" s="16"/>
      <c r="B76" s="16"/>
      <c r="C76" s="16"/>
      <c r="D76" s="65"/>
      <c r="E76" s="65"/>
      <c r="F76" s="65"/>
      <c r="G76" s="65"/>
      <c r="H76" s="65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</row>
    <row r="77" spans="1:23" s="17" customFormat="1" ht="15" customHeight="1">
      <c r="A77" s="16"/>
      <c r="B77" s="16"/>
      <c r="C77" s="16"/>
      <c r="D77" s="66"/>
      <c r="E77" s="66"/>
      <c r="F77" s="66"/>
      <c r="G77" s="66"/>
      <c r="H77" s="6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3" s="17" customFormat="1" ht="15" customHeight="1">
      <c r="A78" s="16"/>
      <c r="B78" s="16"/>
      <c r="C78" s="16"/>
      <c r="D78" s="67"/>
      <c r="E78" s="67"/>
      <c r="F78" s="67"/>
      <c r="G78" s="67"/>
      <c r="H78" s="67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1:23" s="17" customFormat="1" ht="15" customHeight="1">
      <c r="A79" s="16"/>
      <c r="B79" s="16"/>
      <c r="C79" s="16"/>
      <c r="D79" s="67"/>
      <c r="E79" s="67"/>
      <c r="F79" s="67"/>
      <c r="G79" s="67"/>
      <c r="H79" s="67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1:23" s="17" customFormat="1" ht="15" customHeight="1">
      <c r="A80" s="16"/>
      <c r="B80" s="16"/>
      <c r="C80" s="16"/>
      <c r="D80" s="67"/>
      <c r="E80" s="67"/>
      <c r="F80" s="67"/>
      <c r="G80" s="67"/>
      <c r="H80" s="67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</row>
    <row r="81" spans="1:23" s="17" customFormat="1" ht="15" customHeight="1">
      <c r="A81" s="16"/>
      <c r="B81" s="16"/>
      <c r="C81" s="16"/>
      <c r="D81" s="67"/>
      <c r="E81" s="67"/>
      <c r="F81" s="67"/>
      <c r="G81" s="67"/>
      <c r="H81" s="67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spans="1:23" s="17" customFormat="1" ht="15" customHeight="1">
      <c r="A82" s="16"/>
      <c r="B82" s="16"/>
      <c r="C82" s="16"/>
      <c r="D82" s="67"/>
      <c r="E82" s="67"/>
      <c r="F82" s="67"/>
      <c r="G82" s="67"/>
      <c r="H82" s="67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</row>
    <row r="83" spans="1:23" s="17" customFormat="1" ht="15" customHeight="1">
      <c r="A83" s="16"/>
      <c r="B83" s="16"/>
      <c r="C83" s="16"/>
      <c r="D83" s="67"/>
      <c r="E83" s="67"/>
      <c r="F83" s="67"/>
      <c r="G83" s="67"/>
      <c r="H83" s="67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</row>
    <row r="84" spans="1:23" s="18" customFormat="1" ht="15" customHeight="1">
      <c r="A84" s="19"/>
      <c r="B84" s="19"/>
      <c r="C84" s="19"/>
      <c r="D84" s="68"/>
      <c r="E84" s="68"/>
      <c r="F84" s="68"/>
      <c r="G84" s="68"/>
      <c r="H84" s="68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1:23" s="6" customFormat="1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s="6" customFormat="1" ht="1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s="6" customFormat="1" ht="1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="5" customFormat="1" ht="15" customHeight="1"/>
    <row r="89" s="5" customFormat="1" ht="15" customHeight="1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pans="4:5" s="2" customFormat="1" ht="12.75">
      <c r="D166" s="62" t="s">
        <v>29</v>
      </c>
      <c r="E166" s="64">
        <v>1</v>
      </c>
    </row>
    <row r="167" s="2" customFormat="1" ht="12.75">
      <c r="D167" s="57" t="s">
        <v>22</v>
      </c>
    </row>
    <row r="168" s="2" customFormat="1" ht="12.75">
      <c r="D168" s="57" t="s">
        <v>23</v>
      </c>
    </row>
    <row r="169" s="2" customFormat="1" ht="12.75">
      <c r="D169" s="58"/>
    </row>
    <row r="170" s="2" customFormat="1" ht="12.75"/>
    <row r="171" spans="4:5" s="2" customFormat="1" ht="12.75">
      <c r="D171" s="62" t="s">
        <v>25</v>
      </c>
      <c r="E171" s="64">
        <v>1</v>
      </c>
    </row>
    <row r="172" s="2" customFormat="1" ht="12.75">
      <c r="D172" s="57" t="s">
        <v>26</v>
      </c>
    </row>
    <row r="173" s="2" customFormat="1" ht="12.75">
      <c r="D173" s="57" t="s">
        <v>27</v>
      </c>
    </row>
    <row r="174" s="2" customFormat="1" ht="12.75">
      <c r="D174" s="58" t="s">
        <v>28</v>
      </c>
    </row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</sheetData>
  <sheetProtection password="DBB2" sheet="1" objects="1" scenarios="1"/>
  <mergeCells count="32">
    <mergeCell ref="B9:I9"/>
    <mergeCell ref="E14:E15"/>
    <mergeCell ref="E21:E22"/>
    <mergeCell ref="F14:H15"/>
    <mergeCell ref="F16:H16"/>
    <mergeCell ref="F17:H17"/>
    <mergeCell ref="F18:H18"/>
    <mergeCell ref="C11:D11"/>
    <mergeCell ref="C12:D12"/>
    <mergeCell ref="C14:D14"/>
    <mergeCell ref="F23:H23"/>
    <mergeCell ref="F24:H24"/>
    <mergeCell ref="F25:H25"/>
    <mergeCell ref="F19:H19"/>
    <mergeCell ref="F21:H22"/>
    <mergeCell ref="G44:H44"/>
    <mergeCell ref="F39:H39"/>
    <mergeCell ref="F40:H40"/>
    <mergeCell ref="E35:E36"/>
    <mergeCell ref="F35:H36"/>
    <mergeCell ref="F37:H37"/>
    <mergeCell ref="F38:H38"/>
    <mergeCell ref="C21:D21"/>
    <mergeCell ref="C28:D28"/>
    <mergeCell ref="C35:D35"/>
    <mergeCell ref="F31:H31"/>
    <mergeCell ref="F32:H32"/>
    <mergeCell ref="F33:H33"/>
    <mergeCell ref="F26:H26"/>
    <mergeCell ref="E28:E29"/>
    <mergeCell ref="F28:H29"/>
    <mergeCell ref="F30:H3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72"/>
  <sheetViews>
    <sheetView workbookViewId="0" topLeftCell="A1">
      <selection activeCell="A46" sqref="A46:IV60"/>
    </sheetView>
  </sheetViews>
  <sheetFormatPr defaultColWidth="9.00390625" defaultRowHeight="12.75"/>
  <cols>
    <col min="1" max="1" width="1.75390625" style="2" customWidth="1"/>
    <col min="2" max="2" width="2.00390625" style="1" customWidth="1"/>
    <col min="3" max="6" width="21.75390625" style="0" customWidth="1"/>
    <col min="7" max="7" width="2.25390625" style="0" customWidth="1"/>
    <col min="8" max="21" width="9.125" style="2" customWidth="1"/>
  </cols>
  <sheetData>
    <row r="1" spans="1:23" s="6" customFormat="1" ht="4.5" customHeight="1">
      <c r="A1" s="5"/>
      <c r="B1" s="20"/>
      <c r="C1" s="3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3" customFormat="1" ht="12.75" customHeight="1">
      <c r="A2" s="12"/>
      <c r="B2" s="26" t="str">
        <f>IF(Zadání!C195=1," pobočka Praha 2",IF(Zadání!C195=2," pobočka Rakovník",Zadání!C19))</f>
        <v> pobočka Rakovník</v>
      </c>
      <c r="C2" s="24"/>
      <c r="D2" s="11"/>
      <c r="E2" s="11"/>
      <c r="F2" s="11"/>
      <c r="G2" s="1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s="13" customFormat="1" ht="12.75" customHeight="1">
      <c r="A3" s="12"/>
      <c r="B3" s="27" t="str">
        <f>IF(Zadání!C195=1," Sekaninova 52, PSČ: 128 00",IF(Zadání!C195=2," Vysoká 273, PSČ: 269 01",Zadání!C20))</f>
        <v> Vysoká 273, PSČ: 269 01</v>
      </c>
      <c r="C3" s="24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s="13" customFormat="1" ht="12.75" customHeight="1">
      <c r="A4" s="12"/>
      <c r="B4" s="27" t="str">
        <f>IF(Zadání!C195=1," tel.: 224 936 262-3",IF(Zadání!C195=2," tel.: 313 515 742-3",Zadání!C21))</f>
        <v> tel.: 313 515 742-3</v>
      </c>
      <c r="C4" s="24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13" customFormat="1" ht="12.75" customHeight="1">
      <c r="A5" s="12"/>
      <c r="B5" s="27" t="str">
        <f>IF(Zadání!C195=1," fax: 261 220 074",IF(Zadání!C195=2," fax: 313 516 260",Zadání!C22))</f>
        <v> fax: 313 516 260</v>
      </c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13" customFormat="1" ht="12.75" customHeight="1">
      <c r="A6" s="12"/>
      <c r="B6" s="27" t="str">
        <f>IF(Zadání!C195=1," e-mail: praha@euroleasing.cz",IF(Zadání!C195=2," e-mail: rakovník@euroleasing.cz",Zadání!C23))</f>
        <v> e-mail: rakovník@euroleasing.cz</v>
      </c>
      <c r="C6" s="11"/>
      <c r="D6" s="11"/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13" customFormat="1" ht="12.75" customHeight="1">
      <c r="A7" s="12"/>
      <c r="B7" s="27" t="str">
        <f>IF(Zadání!C195=1," vyřizuje: Dagmar Veselá, 608 345 109",IF(Zadání!C195=2," vyřizuje: J.Komínková, 608 345 108",Zadání!C24))</f>
        <v> vyřizuje: J.Komínková, 608 345 108</v>
      </c>
      <c r="C7" s="11"/>
      <c r="D7" s="11"/>
      <c r="E7" s="11"/>
      <c r="F7" s="11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13" customFormat="1" ht="51" customHeight="1">
      <c r="A8" s="12"/>
      <c r="B8" s="28"/>
      <c r="C8" s="25"/>
      <c r="D8" s="25"/>
      <c r="E8" s="25"/>
      <c r="F8" s="25"/>
      <c r="G8" s="25"/>
      <c r="H8" s="103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6" customFormat="1" ht="49.5" customHeight="1">
      <c r="A9" s="5"/>
      <c r="B9" s="357" t="s">
        <v>124</v>
      </c>
      <c r="C9" s="358"/>
      <c r="D9" s="358"/>
      <c r="E9" s="358"/>
      <c r="F9" s="358"/>
      <c r="G9" s="358"/>
      <c r="H9" s="109"/>
      <c r="I9" s="5"/>
      <c r="J9" s="8"/>
      <c r="K9" s="8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6" customFormat="1" ht="42" customHeight="1">
      <c r="A10" s="5"/>
      <c r="B10" s="4"/>
      <c r="C10" s="176"/>
      <c r="D10" s="176"/>
      <c r="E10" s="176"/>
      <c r="F10" s="176"/>
      <c r="G10" s="32"/>
      <c r="H10" s="109"/>
      <c r="I10" s="5"/>
      <c r="J10" s="8"/>
      <c r="K10" s="8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2" s="171" customFormat="1" ht="15" customHeight="1">
      <c r="A11" s="168"/>
      <c r="B11" s="169"/>
      <c r="C11" s="177" t="s">
        <v>125</v>
      </c>
      <c r="D11" s="178"/>
      <c r="E11" s="179">
        <f>Zadání!C5</f>
        <v>150000</v>
      </c>
      <c r="F11" s="180"/>
      <c r="G11" s="170"/>
      <c r="H11" s="168"/>
      <c r="I11" s="86"/>
      <c r="J11" s="86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</row>
    <row r="12" spans="1:22" s="171" customFormat="1" ht="15" customHeight="1">
      <c r="A12" s="168"/>
      <c r="B12" s="169"/>
      <c r="C12" s="181" t="s">
        <v>126</v>
      </c>
      <c r="D12" s="182"/>
      <c r="E12" s="183">
        <f>Zadání!C5*(Zadání!C7+1)</f>
        <v>180000</v>
      </c>
      <c r="F12" s="176"/>
      <c r="G12" s="87"/>
      <c r="H12" s="168"/>
      <c r="I12" s="86"/>
      <c r="J12" s="86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</row>
    <row r="13" spans="1:21" s="88" customFormat="1" ht="31.5" customHeight="1">
      <c r="A13" s="86"/>
      <c r="B13" s="87"/>
      <c r="C13" s="363"/>
      <c r="D13" s="363"/>
      <c r="E13" s="363"/>
      <c r="F13" s="185"/>
      <c r="G13" s="87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</row>
    <row r="14" spans="1:21" s="88" customFormat="1" ht="15" customHeight="1">
      <c r="A14" s="86"/>
      <c r="B14" s="87"/>
      <c r="C14" s="199" t="s">
        <v>127</v>
      </c>
      <c r="D14" s="184"/>
      <c r="E14" s="184"/>
      <c r="F14" s="185"/>
      <c r="G14" s="87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</row>
    <row r="15" spans="1:21" s="269" customFormat="1" ht="15" customHeight="1">
      <c r="A15" s="267"/>
      <c r="B15" s="268"/>
      <c r="C15" s="359" t="s">
        <v>74</v>
      </c>
      <c r="D15" s="360"/>
      <c r="E15" s="361" t="s">
        <v>48</v>
      </c>
      <c r="F15" s="361" t="s">
        <v>80</v>
      </c>
      <c r="G15" s="268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</row>
    <row r="16" spans="1:20" s="94" customFormat="1" ht="15" customHeight="1">
      <c r="A16" s="92"/>
      <c r="B16" s="93"/>
      <c r="C16" s="186" t="s">
        <v>0</v>
      </c>
      <c r="D16" s="187" t="s">
        <v>49</v>
      </c>
      <c r="E16" s="362"/>
      <c r="F16" s="362"/>
      <c r="G16" s="93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</row>
    <row r="17" spans="1:20" s="36" customFormat="1" ht="15" customHeight="1">
      <c r="A17" s="34"/>
      <c r="B17" s="35"/>
      <c r="C17" s="204">
        <v>0.3</v>
      </c>
      <c r="D17" s="205">
        <f>$E$12*C17</f>
        <v>54000</v>
      </c>
      <c r="E17" s="205">
        <f>(D49+$E$11)*Zadání!$C$7</f>
        <v>33720</v>
      </c>
      <c r="F17" s="206">
        <f>(((D49+$E$11)*$C$56)-D17)/5</f>
        <v>29664</v>
      </c>
      <c r="G17" s="35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 s="40" customFormat="1" ht="15" customHeight="1">
      <c r="A18" s="37"/>
      <c r="B18" s="38"/>
      <c r="C18" s="207">
        <v>0.35</v>
      </c>
      <c r="D18" s="208">
        <f>$E$12*C18</f>
        <v>62999.99999999999</v>
      </c>
      <c r="E18" s="208">
        <f>(D50+$E$11)*Zadání!$C$7</f>
        <v>33540</v>
      </c>
      <c r="F18" s="209">
        <f>(((D50+$E$11)*$C$56)-D18)/5</f>
        <v>27648</v>
      </c>
      <c r="G18" s="38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s="40" customFormat="1" ht="15" customHeight="1">
      <c r="A19" s="37"/>
      <c r="B19" s="38"/>
      <c r="C19" s="207">
        <v>0.4</v>
      </c>
      <c r="D19" s="208">
        <f>$E$12*C19</f>
        <v>72000</v>
      </c>
      <c r="E19" s="208">
        <f>(D51+$E$11)*Zadání!$C$7</f>
        <v>33360</v>
      </c>
      <c r="F19" s="209">
        <f>(((D51+$E$11)*$C$56)-D19)/5</f>
        <v>25632</v>
      </c>
      <c r="G19" s="38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40" customFormat="1" ht="15" customHeight="1">
      <c r="A20" s="37"/>
      <c r="B20" s="38"/>
      <c r="C20" s="207">
        <v>0.45</v>
      </c>
      <c r="D20" s="208">
        <f>$E$12*C20</f>
        <v>81000</v>
      </c>
      <c r="E20" s="208">
        <f>(D52+$E$11)*Zadání!$C$7</f>
        <v>33180</v>
      </c>
      <c r="F20" s="209">
        <f>(((D52+$E$11)*$C$56)-D20)/5</f>
        <v>23616</v>
      </c>
      <c r="G20" s="3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s="40" customFormat="1" ht="15" customHeight="1">
      <c r="A21" s="37"/>
      <c r="B21" s="38"/>
      <c r="C21" s="210">
        <v>0.5</v>
      </c>
      <c r="D21" s="211">
        <f>$E$12*C21</f>
        <v>90000</v>
      </c>
      <c r="E21" s="211">
        <f>(D53+$E$11)*Zadání!$C$7</f>
        <v>33000</v>
      </c>
      <c r="F21" s="212">
        <f>(((D53+$E$11)*$C$56)-D21)/5</f>
        <v>21600</v>
      </c>
      <c r="G21" s="38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1" s="36" customFormat="1" ht="20.25" customHeight="1">
      <c r="A22" s="34"/>
      <c r="B22" s="35"/>
      <c r="C22" s="191"/>
      <c r="D22" s="192"/>
      <c r="E22" s="192"/>
      <c r="F22" s="193"/>
      <c r="G22" s="97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1" s="88" customFormat="1" ht="15" customHeight="1">
      <c r="A23" s="86"/>
      <c r="B23" s="87"/>
      <c r="C23" s="199" t="s">
        <v>128</v>
      </c>
      <c r="D23" s="184"/>
      <c r="E23" s="184"/>
      <c r="F23" s="185"/>
      <c r="G23" s="87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</row>
    <row r="24" spans="1:21" s="91" customFormat="1" ht="15" customHeight="1">
      <c r="A24" s="89"/>
      <c r="B24" s="90"/>
      <c r="C24" s="359" t="s">
        <v>74</v>
      </c>
      <c r="D24" s="360"/>
      <c r="E24" s="361" t="s">
        <v>48</v>
      </c>
      <c r="F24" s="361" t="s">
        <v>80</v>
      </c>
      <c r="G24" s="90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</row>
    <row r="25" spans="1:20" s="94" customFormat="1" ht="15" customHeight="1">
      <c r="A25" s="92"/>
      <c r="B25" s="93"/>
      <c r="C25" s="186" t="s">
        <v>0</v>
      </c>
      <c r="D25" s="187" t="s">
        <v>49</v>
      </c>
      <c r="E25" s="362"/>
      <c r="F25" s="362"/>
      <c r="G25" s="93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</row>
    <row r="26" spans="1:20" s="36" customFormat="1" ht="15" customHeight="1">
      <c r="A26" s="34"/>
      <c r="B26" s="35"/>
      <c r="C26" s="204">
        <v>0.3</v>
      </c>
      <c r="D26" s="205">
        <f>$E$12*C26</f>
        <v>54000</v>
      </c>
      <c r="E26" s="205">
        <f>(E49+$E$11)*Zadání!$C$7</f>
        <v>33216</v>
      </c>
      <c r="F26" s="206">
        <f>(((E49+$E$11)*$C$56)-D26)/4</f>
        <v>36324</v>
      </c>
      <c r="G26" s="35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 s="40" customFormat="1" ht="15" customHeight="1">
      <c r="A27" s="37"/>
      <c r="B27" s="38"/>
      <c r="C27" s="207">
        <v>0.35</v>
      </c>
      <c r="D27" s="208">
        <f>$E$12*C27</f>
        <v>62999.99999999999</v>
      </c>
      <c r="E27" s="208">
        <f>(E50+$E$11)*Zadání!$C$7</f>
        <v>33072</v>
      </c>
      <c r="F27" s="209">
        <f>(((E50+$E$11)*$C$56)-D27)/4</f>
        <v>33858</v>
      </c>
      <c r="G27" s="38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s="40" customFormat="1" ht="15" customHeight="1">
      <c r="A28" s="37"/>
      <c r="B28" s="38"/>
      <c r="C28" s="207">
        <v>0.4</v>
      </c>
      <c r="D28" s="208">
        <f>$E$12*C28</f>
        <v>72000</v>
      </c>
      <c r="E28" s="208">
        <f>(E51+$E$11)*Zadání!$C$7</f>
        <v>32928</v>
      </c>
      <c r="F28" s="209">
        <f>(((E51+$E$11)*$C$56)-D28)/4</f>
        <v>31392</v>
      </c>
      <c r="G28" s="38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s="40" customFormat="1" ht="15" customHeight="1">
      <c r="A29" s="37"/>
      <c r="B29" s="38"/>
      <c r="C29" s="207">
        <v>0.45</v>
      </c>
      <c r="D29" s="208">
        <f>$E$12*C29</f>
        <v>81000</v>
      </c>
      <c r="E29" s="208">
        <f>(E52+$E$11)*Zadání!$C$7</f>
        <v>32784</v>
      </c>
      <c r="F29" s="209">
        <f>(((E52+$E$11)*$C$56)-D29)/4</f>
        <v>28926</v>
      </c>
      <c r="G29" s="38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s="40" customFormat="1" ht="15" customHeight="1">
      <c r="A30" s="37"/>
      <c r="B30" s="38"/>
      <c r="C30" s="210">
        <v>0.5</v>
      </c>
      <c r="D30" s="211">
        <f>$E$12*C30</f>
        <v>90000</v>
      </c>
      <c r="E30" s="211">
        <f>(E53+$E$11)*Zadání!$C$7</f>
        <v>32640</v>
      </c>
      <c r="F30" s="212">
        <f>(((E53+$E$11)*$C$56)-D30)/4</f>
        <v>26460</v>
      </c>
      <c r="G30" s="38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1" s="36" customFormat="1" ht="22.5" customHeight="1">
      <c r="A31" s="34"/>
      <c r="B31" s="35"/>
      <c r="C31" s="191"/>
      <c r="D31" s="192"/>
      <c r="E31" s="192"/>
      <c r="F31" s="193"/>
      <c r="G31" s="97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s="88" customFormat="1" ht="15" customHeight="1">
      <c r="A32" s="86"/>
      <c r="B32" s="87"/>
      <c r="C32" s="199" t="s">
        <v>129</v>
      </c>
      <c r="D32" s="184"/>
      <c r="E32" s="184"/>
      <c r="F32" s="185"/>
      <c r="G32" s="87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</row>
    <row r="33" spans="1:21" s="91" customFormat="1" ht="15" customHeight="1">
      <c r="A33" s="89"/>
      <c r="B33" s="90"/>
      <c r="C33" s="359" t="s">
        <v>74</v>
      </c>
      <c r="D33" s="360"/>
      <c r="E33" s="361" t="s">
        <v>48</v>
      </c>
      <c r="F33" s="361" t="s">
        <v>80</v>
      </c>
      <c r="G33" s="90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0" s="94" customFormat="1" ht="15" customHeight="1">
      <c r="A34" s="92"/>
      <c r="B34" s="93"/>
      <c r="C34" s="186" t="s">
        <v>0</v>
      </c>
      <c r="D34" s="187" t="s">
        <v>49</v>
      </c>
      <c r="E34" s="362"/>
      <c r="F34" s="362"/>
      <c r="G34" s="93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</row>
    <row r="35" spans="1:20" s="36" customFormat="1" ht="15" customHeight="1">
      <c r="A35" s="34"/>
      <c r="B35" s="35"/>
      <c r="C35" s="204">
        <v>0.3</v>
      </c>
      <c r="D35" s="205">
        <f>$E$12*C35</f>
        <v>54000</v>
      </c>
      <c r="E35" s="205">
        <f>(F49+$E$11)*Zadání!$C$7</f>
        <v>32712</v>
      </c>
      <c r="F35" s="206">
        <f>(((F49+$E$11)*$C$56)-D35)/3</f>
        <v>47424</v>
      </c>
      <c r="G35" s="35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1:20" s="40" customFormat="1" ht="15" customHeight="1">
      <c r="A36" s="37"/>
      <c r="B36" s="38"/>
      <c r="C36" s="207">
        <v>0.35</v>
      </c>
      <c r="D36" s="208">
        <f>$E$12*C36</f>
        <v>62999.99999999999</v>
      </c>
      <c r="E36" s="208">
        <f>(F50+$E$11)*Zadání!$C$7</f>
        <v>32604</v>
      </c>
      <c r="F36" s="209">
        <f>(((F50+$E$11)*$C$56)-D36)/3</f>
        <v>44208</v>
      </c>
      <c r="G36" s="38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s="40" customFormat="1" ht="15" customHeight="1">
      <c r="A37" s="37"/>
      <c r="B37" s="38"/>
      <c r="C37" s="207">
        <v>0.4</v>
      </c>
      <c r="D37" s="208">
        <f>$E$12*C37</f>
        <v>72000</v>
      </c>
      <c r="E37" s="208">
        <f>(F51+$E$11)*Zadání!$C$7</f>
        <v>32496</v>
      </c>
      <c r="F37" s="209">
        <f>(((F51+$E$11)*$C$56)-D37)/3</f>
        <v>40992</v>
      </c>
      <c r="G37" s="38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s="40" customFormat="1" ht="15" customHeight="1">
      <c r="A38" s="37"/>
      <c r="B38" s="38"/>
      <c r="C38" s="207">
        <v>0.45</v>
      </c>
      <c r="D38" s="208">
        <f>$E$12*C38</f>
        <v>81000</v>
      </c>
      <c r="E38" s="208">
        <f>(F52+$E$11)*Zadání!$C$7</f>
        <v>32388</v>
      </c>
      <c r="F38" s="209">
        <f>(((F52+$E$11)*$C$56)-D38)/3</f>
        <v>37776</v>
      </c>
      <c r="G38" s="38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s="40" customFormat="1" ht="15" customHeight="1">
      <c r="A39" s="37"/>
      <c r="B39" s="38"/>
      <c r="C39" s="213">
        <v>0.5</v>
      </c>
      <c r="D39" s="211">
        <f>$E$12*C39</f>
        <v>90000</v>
      </c>
      <c r="E39" s="211">
        <f>(F53+$E$11)*Zadání!$C$7</f>
        <v>32280</v>
      </c>
      <c r="F39" s="212">
        <f>(((F53+$E$11)*$C$56)-D39)/3</f>
        <v>34560</v>
      </c>
      <c r="G39" s="38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1" s="100" customFormat="1" ht="15" customHeight="1">
      <c r="A40" s="98"/>
      <c r="B40" s="99"/>
      <c r="C40" s="124"/>
      <c r="D40" s="95"/>
      <c r="E40" s="95"/>
      <c r="F40" s="96"/>
      <c r="G40" s="99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</row>
    <row r="41" spans="1:21" s="102" customFormat="1" ht="15" customHeight="1">
      <c r="A41" s="101"/>
      <c r="B41" s="97"/>
      <c r="C41" s="124"/>
      <c r="D41" s="95"/>
      <c r="E41" s="95"/>
      <c r="F41" s="96"/>
      <c r="G41" s="97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</row>
    <row r="42" spans="1:21" s="105" customFormat="1" ht="15" customHeight="1">
      <c r="A42" s="103"/>
      <c r="B42" s="104"/>
      <c r="C42" s="173"/>
      <c r="D42" s="173"/>
      <c r="E42" s="173"/>
      <c r="F42" s="172"/>
      <c r="G42" s="104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</row>
    <row r="43" spans="1:21" s="6" customFormat="1" ht="15" customHeight="1">
      <c r="A43" s="5"/>
      <c r="B43" s="176" t="s">
        <v>131</v>
      </c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s="9" customFormat="1" ht="2.25" customHeight="1" thickBot="1">
      <c r="A44" s="8"/>
      <c r="B44" s="7"/>
      <c r="C44" s="7"/>
      <c r="D44" s="7"/>
      <c r="E44" s="7"/>
      <c r="F44" s="7"/>
      <c r="G44" s="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s="6" customFormat="1" ht="12" customHeight="1">
      <c r="A45" s="5"/>
      <c r="B45" s="42"/>
      <c r="C45" s="203" t="str">
        <f>Zadání!B206</f>
        <v>EUROLEASING 1/2010</v>
      </c>
      <c r="D45" s="43"/>
      <c r="E45" s="43"/>
      <c r="F45" s="304">
        <f ca="1">NOW()</f>
        <v>40231.6260875</v>
      </c>
      <c r="G45" s="36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s="17" customFormat="1" ht="15" customHeight="1" hidden="1">
      <c r="A46" s="16"/>
      <c r="B46" s="16"/>
      <c r="C46" s="19"/>
      <c r="D46" s="16"/>
      <c r="E46" s="69"/>
      <c r="F46" s="6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s="17" customFormat="1" ht="15" customHeight="1" hidden="1">
      <c r="A47" s="16"/>
      <c r="B47" s="16"/>
      <c r="C47" s="111"/>
      <c r="D47" s="111"/>
      <c r="E47" s="194"/>
      <c r="F47" s="63"/>
      <c r="G47" s="14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s="17" customFormat="1" ht="15" customHeight="1" hidden="1">
      <c r="A48" s="16"/>
      <c r="B48" s="16"/>
      <c r="C48" s="186" t="s">
        <v>0</v>
      </c>
      <c r="D48" s="187">
        <v>5</v>
      </c>
      <c r="E48" s="187">
        <v>4</v>
      </c>
      <c r="F48" s="187">
        <v>3</v>
      </c>
      <c r="G48" s="14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s="17" customFormat="1" ht="15" customHeight="1" hidden="1">
      <c r="A49" s="16"/>
      <c r="B49" s="16"/>
      <c r="C49" s="188">
        <v>0.3</v>
      </c>
      <c r="D49" s="189">
        <f>IF(Zadání!$C$27=1,(($E$12-$D17)*10%+6000),(($E$12-$D17)*11%+7000))</f>
        <v>18600</v>
      </c>
      <c r="E49" s="189">
        <f>IF(Zadání!$C$27=1,(($E$12-$D17)*8%+6000),(($E$12-$D17)*9%+7000))</f>
        <v>16080</v>
      </c>
      <c r="F49" s="189">
        <f>IF(Zadání!$C$27=1,(($E$12-$D17)*6%+6000),(($E$12-$D17)*7%+7000))</f>
        <v>13560</v>
      </c>
      <c r="G49" s="14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s="17" customFormat="1" ht="15" customHeight="1" hidden="1">
      <c r="A50" s="16"/>
      <c r="B50" s="16"/>
      <c r="C50" s="190">
        <v>0.35</v>
      </c>
      <c r="D50" s="189">
        <f>IF(Zadání!$C$27=1,(($E$12-$D18)*10%+6000),(($E$12-$D18)*11%+7000))</f>
        <v>17700</v>
      </c>
      <c r="E50" s="189">
        <f>IF(Zadání!$C$27=1,(($E$12-$D18)*8%+6000),(($E$12-$D18)*9%+7000))</f>
        <v>15360</v>
      </c>
      <c r="F50" s="189">
        <f>IF(Zadání!$C$27=1,(($E$12-$D18)*6%+6000),(($E$12-$D18)*7%+7000))</f>
        <v>13020</v>
      </c>
      <c r="G50" s="14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s="17" customFormat="1" ht="15" customHeight="1" hidden="1">
      <c r="A51" s="16"/>
      <c r="B51" s="16"/>
      <c r="C51" s="190">
        <v>0.4</v>
      </c>
      <c r="D51" s="189">
        <f>IF(Zadání!$C$27=1,(($E$12-$D19)*10%+6000),(($E$12-$D19)*11%+7000))</f>
        <v>16800</v>
      </c>
      <c r="E51" s="189">
        <f>IF(Zadání!$C$27=1,(($E$12-$D19)*8%+6000),(($E$12-$D19)*9%+7000))</f>
        <v>14640</v>
      </c>
      <c r="F51" s="189">
        <f>IF(Zadání!$C$27=1,(($E$12-$D19)*6%+6000),(($E$12-$D19)*7%+7000))</f>
        <v>12480</v>
      </c>
      <c r="G51" s="14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s="17" customFormat="1" ht="15" customHeight="1" hidden="1">
      <c r="A52" s="16"/>
      <c r="B52" s="16"/>
      <c r="C52" s="190">
        <v>0.45</v>
      </c>
      <c r="D52" s="189">
        <f>IF(Zadání!$C$27=1,(($E$12-$D20)*10%+6000),(($E$12-$D20)*11%+7000))</f>
        <v>15900</v>
      </c>
      <c r="E52" s="189">
        <f>IF(Zadání!$C$27=1,(($E$12-$D20)*8%+6000),(($E$12-$D20)*9%+7000))</f>
        <v>13920</v>
      </c>
      <c r="F52" s="189">
        <f>IF(Zadání!$C$27=1,(($E$12-$D20)*6%+6000),(($E$12-$D20)*7%+7000))</f>
        <v>11940</v>
      </c>
      <c r="G52" s="14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s="17" customFormat="1" ht="15" customHeight="1" hidden="1">
      <c r="A53" s="16"/>
      <c r="B53" s="16"/>
      <c r="C53" s="190">
        <v>0.5</v>
      </c>
      <c r="D53" s="189">
        <f>IF(Zadání!$C$27=1,(($E$12-$D21)*10%+6000),(($E$12-$D21)*11%+7000))</f>
        <v>15000</v>
      </c>
      <c r="E53" s="189">
        <f>IF(Zadání!$C$27=1,(($E$12-$D21)*8%+6000),(($E$12-$D21)*9%+7000))</f>
        <v>13200</v>
      </c>
      <c r="F53" s="189">
        <f>IF(Zadání!$C$27=1,(($E$12-$D21)*6%+6000),(($E$12-$D21)*7%+7000))</f>
        <v>11400</v>
      </c>
      <c r="G53" s="14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s="17" customFormat="1" ht="15" customHeight="1" hidden="1">
      <c r="A54" s="16"/>
      <c r="B54" s="16"/>
      <c r="C54" s="14"/>
      <c r="D54" s="196"/>
      <c r="E54" s="196"/>
      <c r="F54" s="196"/>
      <c r="G54" s="14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s="17" customFormat="1" ht="15" customHeight="1" hidden="1">
      <c r="A55" s="16"/>
      <c r="B55" s="16"/>
      <c r="C55" s="14"/>
      <c r="D55" s="196"/>
      <c r="E55" s="196"/>
      <c r="F55" s="196"/>
      <c r="G55" s="14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s="18" customFormat="1" ht="15" customHeight="1" hidden="1">
      <c r="A56" s="19"/>
      <c r="B56" s="19"/>
      <c r="C56" s="200">
        <f>Zadání!C7+1</f>
        <v>1.2</v>
      </c>
      <c r="D56" s="198"/>
      <c r="E56" s="198"/>
      <c r="F56" s="198"/>
      <c r="G56" s="197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s="17" customFormat="1" ht="15" customHeight="1" hidden="1">
      <c r="A57" s="16"/>
      <c r="B57" s="16"/>
      <c r="C57" s="14"/>
      <c r="D57" s="14"/>
      <c r="E57" s="14"/>
      <c r="F57" s="14"/>
      <c r="G57" s="14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s="6" customFormat="1" ht="15" customHeight="1" hidden="1">
      <c r="A58" s="5"/>
      <c r="B58" s="5"/>
      <c r="C58" s="10"/>
      <c r="D58" s="10"/>
      <c r="E58" s="10"/>
      <c r="F58" s="10"/>
      <c r="G58" s="10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s="17" customFormat="1" ht="15" customHeight="1" hidden="1">
      <c r="A59" s="16"/>
      <c r="B59" s="16"/>
      <c r="C59" s="197"/>
      <c r="D59" s="14"/>
      <c r="E59" s="194"/>
      <c r="F59" s="63"/>
      <c r="G59" s="14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s="17" customFormat="1" ht="15" customHeight="1" hidden="1">
      <c r="A60" s="16"/>
      <c r="B60" s="16"/>
      <c r="C60" s="14"/>
      <c r="D60" s="195"/>
      <c r="E60" s="195"/>
      <c r="F60" s="195"/>
      <c r="G60" s="14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s="17" customFormat="1" ht="15" customHeight="1">
      <c r="A61" s="16"/>
      <c r="B61" s="16"/>
      <c r="C61" s="16"/>
      <c r="D61" s="66"/>
      <c r="E61" s="66"/>
      <c r="F61" s="6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s="17" customFormat="1" ht="15" customHeight="1">
      <c r="A62" s="16"/>
      <c r="B62" s="16"/>
      <c r="C62" s="16"/>
      <c r="D62" s="67"/>
      <c r="E62" s="67"/>
      <c r="F62" s="67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s="17" customFormat="1" ht="15" customHeight="1">
      <c r="A63" s="16"/>
      <c r="B63" s="16"/>
      <c r="C63" s="16"/>
      <c r="D63" s="67"/>
      <c r="E63" s="67"/>
      <c r="F63" s="67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s="17" customFormat="1" ht="15" customHeight="1">
      <c r="A64" s="16"/>
      <c r="B64" s="16"/>
      <c r="C64" s="16"/>
      <c r="D64" s="67"/>
      <c r="E64" s="67"/>
      <c r="F64" s="67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s="17" customFormat="1" ht="15" customHeight="1">
      <c r="A65" s="16"/>
      <c r="B65" s="16"/>
      <c r="C65" s="16"/>
      <c r="D65" s="67"/>
      <c r="E65" s="67"/>
      <c r="F65" s="67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s="17" customFormat="1" ht="15" customHeight="1">
      <c r="A66" s="16"/>
      <c r="B66" s="16"/>
      <c r="C66" s="16"/>
      <c r="D66" s="67"/>
      <c r="E66" s="67"/>
      <c r="F66" s="67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s="17" customFormat="1" ht="15" customHeight="1">
      <c r="A67" s="16"/>
      <c r="B67" s="16"/>
      <c r="C67" s="16"/>
      <c r="D67" s="67"/>
      <c r="E67" s="67"/>
      <c r="F67" s="67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s="18" customFormat="1" ht="15" customHeight="1">
      <c r="A68" s="19"/>
      <c r="B68" s="19"/>
      <c r="C68" s="19"/>
      <c r="D68" s="68"/>
      <c r="E68" s="68"/>
      <c r="F68" s="68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s="6" customFormat="1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s="6" customFormat="1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s="17" customFormat="1" ht="15" customHeight="1">
      <c r="A71" s="16"/>
      <c r="B71" s="16"/>
      <c r="C71" s="19"/>
      <c r="D71" s="16"/>
      <c r="E71" s="69"/>
      <c r="F71" s="6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s="17" customFormat="1" ht="15" customHeight="1">
      <c r="A72" s="16"/>
      <c r="B72" s="16"/>
      <c r="C72" s="16"/>
      <c r="D72" s="65"/>
      <c r="E72" s="65"/>
      <c r="F72" s="65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s="17" customFormat="1" ht="15" customHeight="1">
      <c r="A73" s="16"/>
      <c r="B73" s="16"/>
      <c r="C73" s="16"/>
      <c r="D73" s="66"/>
      <c r="E73" s="66"/>
      <c r="F73" s="6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s="17" customFormat="1" ht="15" customHeight="1">
      <c r="A74" s="16"/>
      <c r="B74" s="16"/>
      <c r="C74" s="16"/>
      <c r="D74" s="67"/>
      <c r="E74" s="67"/>
      <c r="F74" s="67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s="17" customFormat="1" ht="15" customHeight="1">
      <c r="A75" s="16"/>
      <c r="B75" s="16"/>
      <c r="C75" s="16"/>
      <c r="D75" s="67"/>
      <c r="E75" s="67"/>
      <c r="F75" s="67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s="17" customFormat="1" ht="15" customHeight="1">
      <c r="A76" s="16"/>
      <c r="B76" s="16"/>
      <c r="C76" s="16"/>
      <c r="D76" s="67"/>
      <c r="E76" s="67"/>
      <c r="F76" s="67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s="17" customFormat="1" ht="15" customHeight="1">
      <c r="A77" s="16"/>
      <c r="B77" s="16"/>
      <c r="C77" s="16"/>
      <c r="D77" s="67"/>
      <c r="E77" s="67"/>
      <c r="F77" s="67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s="17" customFormat="1" ht="15" customHeight="1">
      <c r="A78" s="16"/>
      <c r="B78" s="16"/>
      <c r="C78" s="16"/>
      <c r="D78" s="67"/>
      <c r="E78" s="67"/>
      <c r="F78" s="67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s="17" customFormat="1" ht="15" customHeight="1">
      <c r="A79" s="16"/>
      <c r="B79" s="16"/>
      <c r="C79" s="16"/>
      <c r="D79" s="67"/>
      <c r="E79" s="67"/>
      <c r="F79" s="67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s="18" customFormat="1" ht="15" customHeight="1">
      <c r="A80" s="19"/>
      <c r="B80" s="19"/>
      <c r="C80" s="19"/>
      <c r="D80" s="68"/>
      <c r="E80" s="68"/>
      <c r="F80" s="68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1:21" s="6" customFormat="1" ht="1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s="6" customFormat="1" ht="1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s="6" customFormat="1" ht="1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="5" customFormat="1" ht="15" customHeight="1"/>
    <row r="85" s="5" customFormat="1" ht="15" customHeight="1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pans="4:5" s="2" customFormat="1" ht="12.75">
      <c r="D162" s="62" t="s">
        <v>29</v>
      </c>
      <c r="E162" s="64">
        <v>1</v>
      </c>
    </row>
    <row r="163" s="2" customFormat="1" ht="12.75">
      <c r="D163" s="57" t="s">
        <v>22</v>
      </c>
    </row>
    <row r="164" s="2" customFormat="1" ht="12.75">
      <c r="D164" s="57" t="s">
        <v>23</v>
      </c>
    </row>
    <row r="165" s="2" customFormat="1" ht="12.75">
      <c r="D165" s="58"/>
    </row>
    <row r="166" s="2" customFormat="1" ht="12.75"/>
    <row r="167" spans="4:5" s="2" customFormat="1" ht="12.75">
      <c r="D167" s="62" t="s">
        <v>25</v>
      </c>
      <c r="E167" s="64">
        <v>1</v>
      </c>
    </row>
    <row r="168" s="2" customFormat="1" ht="12.75">
      <c r="D168" s="57" t="s">
        <v>26</v>
      </c>
    </row>
    <row r="169" s="2" customFormat="1" ht="12.75">
      <c r="D169" s="57" t="s">
        <v>27</v>
      </c>
    </row>
    <row r="170" s="2" customFormat="1" ht="12.75">
      <c r="D170" s="58" t="s">
        <v>28</v>
      </c>
    </row>
    <row r="171" s="2" customFormat="1" ht="12.75"/>
    <row r="172" spans="3:6" s="2" customFormat="1" ht="12.75">
      <c r="C172" s="106" t="s">
        <v>50</v>
      </c>
      <c r="D172" s="107">
        <f>MONTH(D17)</f>
        <v>11</v>
      </c>
      <c r="E172" s="107">
        <f>YEAR(D17)</f>
        <v>2047</v>
      </c>
      <c r="F172" s="108">
        <f>IF(DAY(D17)&lt;16,5,20)</f>
        <v>5</v>
      </c>
    </row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</sheetData>
  <sheetProtection password="DBB2" sheet="1" objects="1" scenarios="1"/>
  <mergeCells count="12">
    <mergeCell ref="F33:F34"/>
    <mergeCell ref="F45:G45"/>
    <mergeCell ref="C24:D24"/>
    <mergeCell ref="E24:E25"/>
    <mergeCell ref="C33:D33"/>
    <mergeCell ref="F24:F25"/>
    <mergeCell ref="E33:E34"/>
    <mergeCell ref="B9:G9"/>
    <mergeCell ref="C15:D15"/>
    <mergeCell ref="E15:E16"/>
    <mergeCell ref="F15:F16"/>
    <mergeCell ref="C13:E13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72"/>
  <sheetViews>
    <sheetView workbookViewId="0" topLeftCell="A1">
      <selection activeCell="K5" sqref="K5:AK5"/>
    </sheetView>
  </sheetViews>
  <sheetFormatPr defaultColWidth="9.00390625" defaultRowHeight="12.75"/>
  <cols>
    <col min="1" max="1" width="1.00390625" style="0" customWidth="1"/>
    <col min="2" max="3" width="2.75390625" style="0" customWidth="1"/>
    <col min="4" max="4" width="1.37890625" style="0" customWidth="1"/>
    <col min="5" max="28" width="2.75390625" style="0" customWidth="1"/>
    <col min="29" max="29" width="2.875" style="0" customWidth="1"/>
    <col min="30" max="30" width="2.75390625" style="0" customWidth="1"/>
    <col min="31" max="31" width="3.125" style="0" customWidth="1"/>
    <col min="32" max="32" width="2.75390625" style="0" customWidth="1"/>
    <col min="33" max="33" width="3.125" style="0" customWidth="1"/>
    <col min="34" max="34" width="3.25390625" style="0" customWidth="1"/>
    <col min="35" max="35" width="2.75390625" style="0" customWidth="1"/>
    <col min="36" max="36" width="2.875" style="0" customWidth="1"/>
    <col min="37" max="37" width="2.75390625" style="0" customWidth="1"/>
    <col min="38" max="38" width="2.125" style="0" customWidth="1"/>
    <col min="39" max="39" width="0.875" style="2" customWidth="1"/>
    <col min="40" max="116" width="2.75390625" style="2" customWidth="1"/>
    <col min="117" max="149" width="2.75390625" style="0" customWidth="1"/>
  </cols>
  <sheetData>
    <row r="1" spans="1:39" ht="27.75" customHeight="1">
      <c r="A1" s="55" t="s">
        <v>8</v>
      </c>
      <c r="B1" s="55"/>
      <c r="C1" s="55"/>
      <c r="D1" s="153" t="s">
        <v>85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AG1" s="1"/>
      <c r="AH1" s="1"/>
      <c r="AI1" s="1"/>
      <c r="AJ1" s="1"/>
      <c r="AK1" s="1"/>
      <c r="AL1" s="1"/>
      <c r="AM1" s="1"/>
    </row>
    <row r="2" spans="1:39" ht="18.75" customHeight="1">
      <c r="A2" s="55"/>
      <c r="B2" s="55"/>
      <c r="C2" s="55"/>
      <c r="D2" s="153"/>
      <c r="E2" s="1"/>
      <c r="F2" s="56" t="s">
        <v>86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1"/>
      <c r="X2" s="1"/>
      <c r="Y2" s="1"/>
      <c r="Z2" s="1"/>
      <c r="AA2" s="1"/>
      <c r="AB2" s="1"/>
      <c r="AC2" s="1"/>
      <c r="AD2" s="1"/>
      <c r="AE2" s="1"/>
      <c r="AF2" s="421"/>
      <c r="AG2" s="421"/>
      <c r="AH2" s="421"/>
      <c r="AI2" s="421"/>
      <c r="AJ2" s="421"/>
      <c r="AK2" s="421"/>
      <c r="AL2" s="421"/>
      <c r="AM2" s="1"/>
    </row>
    <row r="3" spans="1:116" s="45" customFormat="1" ht="15" customHeight="1" thickBot="1">
      <c r="A3" s="423"/>
      <c r="B3" s="423"/>
      <c r="C3" s="423"/>
      <c r="D3" s="423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422"/>
      <c r="AG3" s="422"/>
      <c r="AH3" s="422"/>
      <c r="AI3" s="422"/>
      <c r="AJ3" s="422"/>
      <c r="AK3" s="422"/>
      <c r="AL3" s="422"/>
      <c r="AM3" s="54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</row>
    <row r="4" spans="1:116" s="45" customFormat="1" ht="6" customHeight="1">
      <c r="A4" s="54"/>
      <c r="B4" s="425" t="s">
        <v>87</v>
      </c>
      <c r="C4" s="42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7"/>
      <c r="AM4" s="54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</row>
    <row r="5" spans="1:116" s="45" customFormat="1" ht="15.75" customHeight="1">
      <c r="A5" s="54"/>
      <c r="B5" s="427"/>
      <c r="C5" s="428"/>
      <c r="D5" s="48"/>
      <c r="E5" s="49" t="s">
        <v>88</v>
      </c>
      <c r="F5" s="48"/>
      <c r="G5" s="48"/>
      <c r="H5" s="48"/>
      <c r="I5" s="48"/>
      <c r="J5" s="48"/>
      <c r="K5" s="433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434"/>
      <c r="AK5" s="435"/>
      <c r="AL5" s="50"/>
      <c r="AM5" s="54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</row>
    <row r="6" spans="1:116" s="45" customFormat="1" ht="6" customHeight="1">
      <c r="A6" s="54"/>
      <c r="B6" s="427"/>
      <c r="C6" s="42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50"/>
      <c r="AM6" s="54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</row>
    <row r="7" spans="1:116" s="45" customFormat="1" ht="15.75" customHeight="1">
      <c r="A7" s="54"/>
      <c r="B7" s="427"/>
      <c r="C7" s="428"/>
      <c r="D7" s="48"/>
      <c r="E7" s="48" t="s">
        <v>9</v>
      </c>
      <c r="F7" s="48"/>
      <c r="G7" s="48"/>
      <c r="H7" s="381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396"/>
      <c r="AK7" s="397"/>
      <c r="AL7" s="50"/>
      <c r="AM7" s="54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</row>
    <row r="8" spans="1:116" s="45" customFormat="1" ht="6" customHeight="1">
      <c r="A8" s="54"/>
      <c r="B8" s="427"/>
      <c r="C8" s="42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50"/>
      <c r="AM8" s="54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</row>
    <row r="9" spans="1:116" s="45" customFormat="1" ht="15.75" customHeight="1">
      <c r="A9" s="54"/>
      <c r="B9" s="427"/>
      <c r="C9" s="428"/>
      <c r="D9" s="48"/>
      <c r="E9" s="53" t="s">
        <v>10</v>
      </c>
      <c r="F9" s="48"/>
      <c r="G9" s="48"/>
      <c r="H9" s="436"/>
      <c r="I9" s="437"/>
      <c r="J9" s="437"/>
      <c r="K9" s="437"/>
      <c r="L9" s="437"/>
      <c r="M9" s="437"/>
      <c r="N9" s="437"/>
      <c r="O9" s="438"/>
      <c r="P9" s="154"/>
      <c r="Q9" s="155"/>
      <c r="R9" s="48" t="s">
        <v>5</v>
      </c>
      <c r="T9" s="381"/>
      <c r="U9" s="396"/>
      <c r="V9" s="396"/>
      <c r="W9" s="396"/>
      <c r="X9" s="396"/>
      <c r="Y9" s="396"/>
      <c r="Z9" s="396"/>
      <c r="AA9" s="396"/>
      <c r="AB9" s="397"/>
      <c r="AC9" s="155"/>
      <c r="AD9" s="155"/>
      <c r="AE9" s="155" t="s">
        <v>89</v>
      </c>
      <c r="AF9" s="156"/>
      <c r="AI9" s="439"/>
      <c r="AJ9" s="375"/>
      <c r="AK9" s="376"/>
      <c r="AL9" s="50"/>
      <c r="AM9" s="54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</row>
    <row r="10" spans="1:116" s="45" customFormat="1" ht="6" customHeight="1">
      <c r="A10" s="54"/>
      <c r="B10" s="427"/>
      <c r="C10" s="42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50"/>
      <c r="AM10" s="54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</row>
    <row r="11" spans="1:116" s="45" customFormat="1" ht="15.75" customHeight="1">
      <c r="A11" s="54"/>
      <c r="B11" s="427"/>
      <c r="C11" s="428"/>
      <c r="D11" s="48"/>
      <c r="E11" s="48" t="s">
        <v>11</v>
      </c>
      <c r="F11" s="48"/>
      <c r="G11" s="48"/>
      <c r="H11" s="381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7"/>
      <c r="U11" s="48"/>
      <c r="V11" s="48"/>
      <c r="W11" s="48" t="s">
        <v>12</v>
      </c>
      <c r="X11" s="48"/>
      <c r="Y11" s="381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7"/>
      <c r="AL11" s="50"/>
      <c r="AM11" s="54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</row>
    <row r="12" spans="1:116" s="45" customFormat="1" ht="6" customHeight="1">
      <c r="A12" s="54"/>
      <c r="B12" s="427"/>
      <c r="C12" s="42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50"/>
      <c r="AM12" s="54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</row>
    <row r="13" spans="1:116" s="45" customFormat="1" ht="15.75" customHeight="1">
      <c r="A13" s="54"/>
      <c r="B13" s="427"/>
      <c r="C13" s="428"/>
      <c r="D13" s="48"/>
      <c r="E13" s="48" t="s">
        <v>90</v>
      </c>
      <c r="F13" s="48"/>
      <c r="G13" s="48"/>
      <c r="H13" s="48"/>
      <c r="I13" s="48"/>
      <c r="J13" s="48"/>
      <c r="K13" s="381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7"/>
      <c r="Y13" s="48"/>
      <c r="Z13" s="48" t="s">
        <v>7</v>
      </c>
      <c r="AA13" s="48"/>
      <c r="AB13" s="381"/>
      <c r="AC13" s="396"/>
      <c r="AD13" s="396"/>
      <c r="AE13" s="396"/>
      <c r="AF13" s="396"/>
      <c r="AG13" s="396"/>
      <c r="AH13" s="396"/>
      <c r="AI13" s="396"/>
      <c r="AJ13" s="396"/>
      <c r="AK13" s="397"/>
      <c r="AL13" s="50"/>
      <c r="AM13" s="54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</row>
    <row r="14" spans="1:116" s="45" customFormat="1" ht="6" customHeight="1">
      <c r="A14" s="54"/>
      <c r="B14" s="429"/>
      <c r="C14" s="430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50"/>
      <c r="AM14" s="54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</row>
    <row r="15" spans="1:116" s="45" customFormat="1" ht="15.75" customHeight="1">
      <c r="A15" s="54"/>
      <c r="B15" s="429"/>
      <c r="C15" s="430"/>
      <c r="D15" s="48"/>
      <c r="E15" s="48" t="s">
        <v>13</v>
      </c>
      <c r="F15" s="48"/>
      <c r="G15" s="48"/>
      <c r="H15" s="420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3"/>
      <c r="Y15" s="48"/>
      <c r="Z15" s="48" t="s">
        <v>6</v>
      </c>
      <c r="AA15" s="48"/>
      <c r="AB15" s="420"/>
      <c r="AC15" s="382"/>
      <c r="AD15" s="382"/>
      <c r="AE15" s="382"/>
      <c r="AF15" s="382"/>
      <c r="AG15" s="382"/>
      <c r="AH15" s="382"/>
      <c r="AI15" s="382"/>
      <c r="AJ15" s="382"/>
      <c r="AK15" s="383"/>
      <c r="AL15" s="50"/>
      <c r="AM15" s="54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</row>
    <row r="16" spans="1:116" s="45" customFormat="1" ht="6" customHeight="1">
      <c r="A16" s="54"/>
      <c r="B16" s="429"/>
      <c r="C16" s="430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50"/>
      <c r="AM16" s="54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</row>
    <row r="17" spans="1:116" s="45" customFormat="1" ht="15.75" customHeight="1">
      <c r="A17" s="54"/>
      <c r="B17" s="429"/>
      <c r="C17" s="430"/>
      <c r="D17" s="48"/>
      <c r="E17" s="48" t="s">
        <v>91</v>
      </c>
      <c r="F17" s="48"/>
      <c r="G17" s="48"/>
      <c r="H17" s="157"/>
      <c r="I17" s="156"/>
      <c r="J17" s="156"/>
      <c r="K17" s="410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3"/>
      <c r="Y17" s="48"/>
      <c r="Z17" s="48" t="s">
        <v>92</v>
      </c>
      <c r="AA17" s="48"/>
      <c r="AB17" s="157"/>
      <c r="AC17" s="156"/>
      <c r="AD17" s="411"/>
      <c r="AE17" s="412"/>
      <c r="AF17" s="412"/>
      <c r="AG17" s="412"/>
      <c r="AH17" s="412"/>
      <c r="AI17" s="412"/>
      <c r="AJ17" s="412"/>
      <c r="AK17" s="413"/>
      <c r="AL17" s="50"/>
      <c r="AM17" s="54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</row>
    <row r="18" spans="1:116" s="45" customFormat="1" ht="6" customHeight="1" thickBot="1">
      <c r="A18" s="54"/>
      <c r="B18" s="431"/>
      <c r="C18" s="432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2"/>
      <c r="AM18" s="54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</row>
    <row r="19" spans="1:116" s="45" customFormat="1" ht="6.75" customHeight="1" thickBo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</row>
    <row r="20" spans="1:116" s="45" customFormat="1" ht="6" customHeight="1">
      <c r="A20" s="54"/>
      <c r="B20" s="377" t="s">
        <v>21</v>
      </c>
      <c r="C20" s="378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7"/>
      <c r="AM20" s="54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</row>
    <row r="21" spans="1:116" s="45" customFormat="1" ht="15.75" customHeight="1">
      <c r="A21" s="54"/>
      <c r="B21" s="379"/>
      <c r="C21" s="380"/>
      <c r="D21" s="48"/>
      <c r="E21" s="53" t="s">
        <v>93</v>
      </c>
      <c r="F21" s="48"/>
      <c r="G21" s="48"/>
      <c r="H21" s="48"/>
      <c r="I21" s="48"/>
      <c r="J21" s="48"/>
      <c r="K21" s="414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6"/>
      <c r="AL21" s="50"/>
      <c r="AM21" s="54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</row>
    <row r="22" spans="1:116" s="45" customFormat="1" ht="6" customHeight="1">
      <c r="A22" s="54"/>
      <c r="B22" s="379"/>
      <c r="C22" s="380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50"/>
      <c r="AM22" s="54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</row>
    <row r="23" spans="1:116" s="45" customFormat="1" ht="15.75" customHeight="1">
      <c r="A23" s="54"/>
      <c r="B23" s="379"/>
      <c r="C23" s="380"/>
      <c r="D23" s="48"/>
      <c r="E23" s="48" t="s">
        <v>14</v>
      </c>
      <c r="F23" s="48"/>
      <c r="G23" s="48"/>
      <c r="H23" s="48"/>
      <c r="I23" s="48"/>
      <c r="J23" s="48"/>
      <c r="K23" s="48"/>
      <c r="L23" s="48"/>
      <c r="M23" s="417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9"/>
      <c r="Y23" s="48"/>
      <c r="Z23" s="48" t="s">
        <v>15</v>
      </c>
      <c r="AA23" s="48"/>
      <c r="AB23" s="70"/>
      <c r="AC23" s="48"/>
      <c r="AD23" s="48"/>
      <c r="AE23" s="48" t="s">
        <v>16</v>
      </c>
      <c r="AF23" s="48"/>
      <c r="AG23" s="48"/>
      <c r="AH23" s="48"/>
      <c r="AI23" s="70"/>
      <c r="AJ23" s="48"/>
      <c r="AK23" s="48"/>
      <c r="AL23" s="50"/>
      <c r="AM23" s="54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</row>
    <row r="24" spans="1:116" s="45" customFormat="1" ht="6" customHeight="1">
      <c r="A24" s="54"/>
      <c r="B24" s="379"/>
      <c r="C24" s="38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50"/>
      <c r="AM24" s="54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</row>
    <row r="25" spans="1:116" s="45" customFormat="1" ht="15.75" customHeight="1">
      <c r="A25" s="54"/>
      <c r="B25" s="379"/>
      <c r="C25" s="380"/>
      <c r="D25" s="48"/>
      <c r="E25" s="53" t="s">
        <v>18</v>
      </c>
      <c r="F25" s="48"/>
      <c r="G25" s="48"/>
      <c r="H25" s="48"/>
      <c r="I25" s="48"/>
      <c r="J25" s="48"/>
      <c r="K25" s="414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5"/>
      <c r="AC25" s="415"/>
      <c r="AD25" s="415"/>
      <c r="AE25" s="415"/>
      <c r="AF25" s="415"/>
      <c r="AG25" s="415"/>
      <c r="AH25" s="415"/>
      <c r="AI25" s="415"/>
      <c r="AJ25" s="415"/>
      <c r="AK25" s="416"/>
      <c r="AL25" s="50"/>
      <c r="AM25" s="54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</row>
    <row r="26" spans="1:116" s="45" customFormat="1" ht="6" customHeight="1">
      <c r="A26" s="54"/>
      <c r="B26" s="379"/>
      <c r="C26" s="380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50"/>
      <c r="AM26" s="54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</row>
    <row r="27" spans="1:116" s="45" customFormat="1" ht="15.75" customHeight="1">
      <c r="A27" s="54"/>
      <c r="B27" s="379"/>
      <c r="C27" s="380"/>
      <c r="D27" s="48"/>
      <c r="E27" s="48" t="s">
        <v>94</v>
      </c>
      <c r="F27" s="48"/>
      <c r="G27" s="48"/>
      <c r="H27" s="157"/>
      <c r="I27" s="156"/>
      <c r="J27" s="156"/>
      <c r="K27" s="410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82"/>
      <c r="AK27" s="383"/>
      <c r="AL27" s="50"/>
      <c r="AM27" s="54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</row>
    <row r="28" spans="1:116" s="45" customFormat="1" ht="6" customHeight="1">
      <c r="A28" s="54"/>
      <c r="B28" s="379"/>
      <c r="C28" s="380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50"/>
      <c r="AM28" s="54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</row>
    <row r="29" spans="1:116" s="45" customFormat="1" ht="15.75" customHeight="1">
      <c r="A29" s="54"/>
      <c r="B29" s="379"/>
      <c r="C29" s="380"/>
      <c r="D29" s="48"/>
      <c r="E29" s="48" t="s">
        <v>95</v>
      </c>
      <c r="F29" s="48"/>
      <c r="G29" s="48"/>
      <c r="H29" s="48"/>
      <c r="I29" s="48"/>
      <c r="J29" s="48"/>
      <c r="K29" s="381"/>
      <c r="L29" s="395"/>
      <c r="M29" s="395"/>
      <c r="N29" s="395"/>
      <c r="O29" s="395"/>
      <c r="P29" s="395"/>
      <c r="Q29" s="395"/>
      <c r="R29" s="395"/>
      <c r="S29" s="395"/>
      <c r="T29" s="395"/>
      <c r="U29" s="400"/>
      <c r="V29" s="48"/>
      <c r="W29" s="48" t="s">
        <v>11</v>
      </c>
      <c r="X29" s="48"/>
      <c r="Y29" s="48"/>
      <c r="Z29" s="381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400"/>
      <c r="AL29" s="50"/>
      <c r="AM29" s="54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</row>
    <row r="30" spans="1:116" s="45" customFormat="1" ht="6" customHeight="1">
      <c r="A30" s="54"/>
      <c r="B30" s="379"/>
      <c r="C30" s="380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50"/>
      <c r="AM30" s="54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</row>
    <row r="31" spans="1:116" s="45" customFormat="1" ht="15.75" customHeight="1">
      <c r="A31" s="54"/>
      <c r="B31" s="379"/>
      <c r="C31" s="380"/>
      <c r="D31" s="48"/>
      <c r="E31" s="48" t="s">
        <v>19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381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400"/>
      <c r="AB31" s="48"/>
      <c r="AC31" s="48" t="s">
        <v>7</v>
      </c>
      <c r="AD31" s="48"/>
      <c r="AE31" s="381"/>
      <c r="AF31" s="395"/>
      <c r="AG31" s="395"/>
      <c r="AH31" s="395"/>
      <c r="AI31" s="395"/>
      <c r="AJ31" s="395"/>
      <c r="AK31" s="400"/>
      <c r="AL31" s="50"/>
      <c r="AM31" s="54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</row>
    <row r="32" spans="1:116" s="45" customFormat="1" ht="6" customHeight="1">
      <c r="A32" s="54"/>
      <c r="B32" s="379"/>
      <c r="C32" s="380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50"/>
      <c r="AM32" s="54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</row>
    <row r="33" spans="1:116" s="45" customFormat="1" ht="15.75" customHeight="1">
      <c r="A33" s="54"/>
      <c r="B33" s="379"/>
      <c r="C33" s="380"/>
      <c r="D33" s="48"/>
      <c r="E33" s="48" t="s">
        <v>17</v>
      </c>
      <c r="F33" s="48"/>
      <c r="G33" s="48"/>
      <c r="H33" s="48"/>
      <c r="I33" s="48"/>
      <c r="J33" s="48"/>
      <c r="K33" s="401"/>
      <c r="L33" s="394"/>
      <c r="M33" s="394"/>
      <c r="N33" s="394"/>
      <c r="O33" s="394"/>
      <c r="P33" s="394"/>
      <c r="Q33" s="394"/>
      <c r="R33" s="394"/>
      <c r="S33" s="394"/>
      <c r="T33" s="402"/>
      <c r="U33" s="48"/>
      <c r="V33" s="48"/>
      <c r="W33" s="48" t="s">
        <v>96</v>
      </c>
      <c r="X33" s="48"/>
      <c r="Y33" s="48"/>
      <c r="Z33" s="157"/>
      <c r="AA33" s="155"/>
      <c r="AB33" s="381"/>
      <c r="AC33" s="382"/>
      <c r="AD33" s="382"/>
      <c r="AE33" s="382"/>
      <c r="AF33" s="382"/>
      <c r="AG33" s="382"/>
      <c r="AH33" s="382"/>
      <c r="AI33" s="382"/>
      <c r="AJ33" s="382"/>
      <c r="AK33" s="383"/>
      <c r="AL33" s="50"/>
      <c r="AM33" s="54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</row>
    <row r="34" spans="1:116" s="45" customFormat="1" ht="6" customHeight="1" thickBot="1">
      <c r="A34" s="54"/>
      <c r="B34" s="387"/>
      <c r="C34" s="388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2"/>
      <c r="AM34" s="54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</row>
    <row r="35" spans="1:116" s="45" customFormat="1" ht="6" customHeight="1" thickBo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</row>
    <row r="36" spans="1:116" s="45" customFormat="1" ht="10.5" customHeight="1">
      <c r="A36" s="54"/>
      <c r="B36" s="377" t="s">
        <v>97</v>
      </c>
      <c r="C36" s="378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7"/>
      <c r="AM36" s="54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</row>
    <row r="37" spans="1:116" s="45" customFormat="1" ht="15.75" customHeight="1">
      <c r="A37" s="54"/>
      <c r="B37" s="379"/>
      <c r="C37" s="380"/>
      <c r="D37" s="48"/>
      <c r="E37" s="48" t="s">
        <v>98</v>
      </c>
      <c r="F37" s="48"/>
      <c r="G37" s="48"/>
      <c r="H37" s="48"/>
      <c r="I37" s="48"/>
      <c r="J37" s="48"/>
      <c r="K37" s="48"/>
      <c r="L37" s="48"/>
      <c r="M37" s="48"/>
      <c r="N37" s="371"/>
      <c r="O37" s="403"/>
      <c r="P37" s="404"/>
      <c r="Q37" s="404"/>
      <c r="R37" s="404"/>
      <c r="S37" s="405"/>
      <c r="T37" s="48"/>
      <c r="U37" s="48"/>
      <c r="V37" s="48" t="s">
        <v>99</v>
      </c>
      <c r="W37" s="48"/>
      <c r="X37" s="48"/>
      <c r="Y37" s="48"/>
      <c r="Z37" s="48"/>
      <c r="AA37" s="48"/>
      <c r="AB37" s="48"/>
      <c r="AC37" s="48"/>
      <c r="AD37" s="48"/>
      <c r="AE37" s="48"/>
      <c r="AF37" s="371"/>
      <c r="AG37" s="404"/>
      <c r="AH37" s="404"/>
      <c r="AI37" s="404"/>
      <c r="AJ37" s="404"/>
      <c r="AK37" s="405"/>
      <c r="AL37" s="50"/>
      <c r="AM37" s="54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</row>
    <row r="38" spans="1:116" s="45" customFormat="1" ht="9.75" customHeight="1">
      <c r="A38" s="54"/>
      <c r="B38" s="379"/>
      <c r="C38" s="380"/>
      <c r="D38" s="15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50"/>
      <c r="AM38" s="54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</row>
    <row r="39" spans="1:116" s="45" customFormat="1" ht="15.75" customHeight="1">
      <c r="A39" s="54"/>
      <c r="B39" s="379"/>
      <c r="C39" s="380"/>
      <c r="D39" s="48"/>
      <c r="E39" s="53" t="s">
        <v>100</v>
      </c>
      <c r="F39" s="48"/>
      <c r="G39" s="48"/>
      <c r="H39" s="48"/>
      <c r="I39" s="48"/>
      <c r="J39" s="48"/>
      <c r="K39" s="48"/>
      <c r="L39" s="48"/>
      <c r="M39" s="48"/>
      <c r="N39" s="406"/>
      <c r="O39" s="407"/>
      <c r="P39" s="408"/>
      <c r="Q39" s="408"/>
      <c r="R39" s="408"/>
      <c r="S39" s="409"/>
      <c r="T39" s="48"/>
      <c r="U39" s="48"/>
      <c r="V39" s="53" t="s">
        <v>101</v>
      </c>
      <c r="W39" s="48"/>
      <c r="X39" s="48"/>
      <c r="Y39" s="48" t="s">
        <v>51</v>
      </c>
      <c r="Z39" s="48"/>
      <c r="AA39" s="48"/>
      <c r="AB39" s="159"/>
      <c r="AC39" s="48"/>
      <c r="AD39" s="157" t="s">
        <v>102</v>
      </c>
      <c r="AE39" s="48"/>
      <c r="AF39" s="160"/>
      <c r="AG39" s="115"/>
      <c r="AH39" s="45" t="s">
        <v>139</v>
      </c>
      <c r="AI39" s="115"/>
      <c r="AJ39" s="115"/>
      <c r="AK39" s="160"/>
      <c r="AL39" s="50"/>
      <c r="AM39" s="54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</row>
    <row r="40" spans="1:116" s="45" customFormat="1" ht="7.5" customHeight="1">
      <c r="A40" s="54"/>
      <c r="B40" s="379"/>
      <c r="C40" s="380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50"/>
      <c r="AM40" s="54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</row>
    <row r="41" spans="1:116" s="45" customFormat="1" ht="17.25" customHeight="1">
      <c r="A41" s="54"/>
      <c r="B41" s="379"/>
      <c r="C41" s="380"/>
      <c r="D41" s="48"/>
      <c r="E41" s="48" t="s">
        <v>20</v>
      </c>
      <c r="F41" s="48"/>
      <c r="G41" s="48"/>
      <c r="H41" s="48"/>
      <c r="I41" s="48" t="s">
        <v>103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70"/>
      <c r="U41" s="48"/>
      <c r="V41" s="54"/>
      <c r="W41" s="54"/>
      <c r="X41" s="48" t="s">
        <v>104</v>
      </c>
      <c r="Y41" s="48"/>
      <c r="Z41" s="48"/>
      <c r="AA41" s="48"/>
      <c r="AB41" s="48"/>
      <c r="AC41" s="48"/>
      <c r="AD41" s="48"/>
      <c r="AE41" s="48"/>
      <c r="AF41" s="48"/>
      <c r="AG41" s="70"/>
      <c r="AH41" s="48"/>
      <c r="AJ41" s="48"/>
      <c r="AK41" s="48"/>
      <c r="AL41" s="50"/>
      <c r="AM41" s="54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</row>
    <row r="42" spans="1:116" s="45" customFormat="1" ht="6" customHeight="1" thickBot="1">
      <c r="A42" s="54"/>
      <c r="B42" s="387"/>
      <c r="C42" s="388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2"/>
      <c r="AM42" s="54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</row>
    <row r="43" spans="1:116" s="45" customFormat="1" ht="4.5" customHeight="1" thickBo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</row>
    <row r="44" spans="1:116" s="45" customFormat="1" ht="9" customHeight="1">
      <c r="A44" s="54"/>
      <c r="B44" s="377" t="s">
        <v>105</v>
      </c>
      <c r="C44" s="37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7"/>
      <c r="AM44" s="54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</row>
    <row r="45" spans="1:116" s="45" customFormat="1" ht="15.75" customHeight="1">
      <c r="A45" s="54"/>
      <c r="B45" s="379"/>
      <c r="C45" s="380"/>
      <c r="D45" s="48"/>
      <c r="E45" s="48" t="s">
        <v>106</v>
      </c>
      <c r="F45" s="48"/>
      <c r="G45" s="48"/>
      <c r="H45" s="48"/>
      <c r="I45" s="48"/>
      <c r="J45" s="48"/>
      <c r="K45" s="48"/>
      <c r="L45" s="48"/>
      <c r="M45" s="48"/>
      <c r="N45" s="371"/>
      <c r="O45" s="389"/>
      <c r="P45" s="389"/>
      <c r="Q45" s="389"/>
      <c r="R45" s="389"/>
      <c r="S45" s="390"/>
      <c r="T45" s="48"/>
      <c r="U45" s="48"/>
      <c r="V45" s="48" t="s">
        <v>107</v>
      </c>
      <c r="W45" s="48"/>
      <c r="X45" s="48"/>
      <c r="Y45" s="48"/>
      <c r="Z45" s="48"/>
      <c r="AA45" s="48"/>
      <c r="AB45" s="48"/>
      <c r="AC45" s="48"/>
      <c r="AD45" s="48"/>
      <c r="AE45" s="48"/>
      <c r="AF45" s="161"/>
      <c r="AG45" s="391"/>
      <c r="AH45" s="392"/>
      <c r="AI45" s="392"/>
      <c r="AJ45" s="392"/>
      <c r="AK45" s="393"/>
      <c r="AL45" s="50"/>
      <c r="AM45" s="54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</row>
    <row r="46" spans="1:116" s="45" customFormat="1" ht="6" customHeight="1">
      <c r="A46" s="54"/>
      <c r="B46" s="379"/>
      <c r="C46" s="380"/>
      <c r="D46" s="15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50"/>
      <c r="AM46" s="54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</row>
    <row r="47" spans="1:116" s="45" customFormat="1" ht="15.75" customHeight="1">
      <c r="A47" s="54"/>
      <c r="B47" s="379"/>
      <c r="C47" s="380"/>
      <c r="D47" s="48"/>
      <c r="E47" s="48" t="s">
        <v>108</v>
      </c>
      <c r="F47" s="48"/>
      <c r="G47" s="48"/>
      <c r="H47" s="48"/>
      <c r="I47" s="48"/>
      <c r="J47" s="48"/>
      <c r="K47" s="48"/>
      <c r="L47" s="48"/>
      <c r="M47" s="48"/>
      <c r="N47" s="381"/>
      <c r="O47" s="394"/>
      <c r="P47" s="395"/>
      <c r="Q47" s="395"/>
      <c r="R47" s="395"/>
      <c r="S47" s="395"/>
      <c r="T47" s="396"/>
      <c r="U47" s="396"/>
      <c r="V47" s="396"/>
      <c r="W47" s="396"/>
      <c r="X47" s="396"/>
      <c r="Y47" s="396"/>
      <c r="Z47" s="396"/>
      <c r="AA47" s="396"/>
      <c r="AB47" s="396"/>
      <c r="AC47" s="396"/>
      <c r="AD47" s="396"/>
      <c r="AE47" s="396"/>
      <c r="AF47" s="396"/>
      <c r="AG47" s="396"/>
      <c r="AH47" s="396"/>
      <c r="AI47" s="396"/>
      <c r="AJ47" s="396"/>
      <c r="AK47" s="397"/>
      <c r="AL47" s="50"/>
      <c r="AM47" s="54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</row>
    <row r="48" spans="1:116" s="45" customFormat="1" ht="6" customHeight="1">
      <c r="A48" s="54"/>
      <c r="B48" s="379"/>
      <c r="C48" s="38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50"/>
      <c r="AM48" s="54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</row>
    <row r="49" spans="1:116" s="45" customFormat="1" ht="15.75" customHeight="1">
      <c r="A49" s="54"/>
      <c r="B49" s="379"/>
      <c r="C49" s="380"/>
      <c r="D49" s="48"/>
      <c r="E49" s="48" t="s">
        <v>109</v>
      </c>
      <c r="F49" s="48"/>
      <c r="G49" s="48"/>
      <c r="H49" s="48"/>
      <c r="I49" s="48"/>
      <c r="J49" s="48"/>
      <c r="K49" s="48"/>
      <c r="L49" s="48"/>
      <c r="M49" s="48"/>
      <c r="N49" s="391"/>
      <c r="O49" s="398"/>
      <c r="P49" s="398"/>
      <c r="Q49" s="399"/>
      <c r="R49" s="162" t="s">
        <v>110</v>
      </c>
      <c r="S49" s="48"/>
      <c r="T49" s="161"/>
      <c r="U49" s="48"/>
      <c r="W49" s="374"/>
      <c r="X49" s="375"/>
      <c r="Y49" s="375"/>
      <c r="Z49" s="375"/>
      <c r="AA49" s="375"/>
      <c r="AB49" s="375"/>
      <c r="AC49" s="375"/>
      <c r="AD49" s="375"/>
      <c r="AE49" s="375"/>
      <c r="AF49" s="375"/>
      <c r="AG49" s="375"/>
      <c r="AH49" s="375"/>
      <c r="AI49" s="375"/>
      <c r="AJ49" s="375"/>
      <c r="AK49" s="376"/>
      <c r="AL49" s="50"/>
      <c r="AM49" s="54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</row>
    <row r="50" spans="1:116" s="44" customFormat="1" ht="6" customHeight="1" thickBot="1">
      <c r="A50" s="59"/>
      <c r="B50" s="387"/>
      <c r="C50" s="388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2"/>
      <c r="AM50" s="54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</row>
    <row r="51" spans="1:116" s="44" customFormat="1" ht="6" customHeight="1" thickBot="1">
      <c r="A51" s="59"/>
      <c r="B51" s="59"/>
      <c r="C51" s="59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</row>
    <row r="52" spans="1:116" s="45" customFormat="1" ht="6" customHeight="1">
      <c r="A52" s="54"/>
      <c r="B52" s="377" t="s">
        <v>111</v>
      </c>
      <c r="C52" s="378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7"/>
      <c r="AM52" s="54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</row>
    <row r="53" spans="1:116" s="45" customFormat="1" ht="15.75" customHeight="1">
      <c r="A53" s="54"/>
      <c r="B53" s="379"/>
      <c r="C53" s="380"/>
      <c r="D53" s="48"/>
      <c r="E53" s="48" t="s">
        <v>112</v>
      </c>
      <c r="F53" s="48"/>
      <c r="G53" s="48"/>
      <c r="H53" s="48"/>
      <c r="I53" s="48"/>
      <c r="J53" s="48"/>
      <c r="K53" s="157"/>
      <c r="L53" s="155"/>
      <c r="M53" s="155"/>
      <c r="N53" s="381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3"/>
      <c r="AL53" s="50"/>
      <c r="AM53" s="54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</row>
    <row r="54" spans="1:116" s="45" customFormat="1" ht="6" customHeight="1">
      <c r="A54" s="54"/>
      <c r="B54" s="379"/>
      <c r="C54" s="380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50"/>
      <c r="AM54" s="54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</row>
    <row r="55" spans="1:116" s="45" customFormat="1" ht="15.75" customHeight="1">
      <c r="A55" s="54"/>
      <c r="B55" s="379"/>
      <c r="C55" s="380"/>
      <c r="D55" s="48"/>
      <c r="E55" s="48" t="s">
        <v>113</v>
      </c>
      <c r="F55" s="48"/>
      <c r="G55" s="48"/>
      <c r="H55" s="48"/>
      <c r="I55" s="48"/>
      <c r="J55" s="48"/>
      <c r="K55" s="157"/>
      <c r="L55" s="155"/>
      <c r="M55" s="155"/>
      <c r="N55" s="381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3"/>
      <c r="AL55" s="50"/>
      <c r="AM55" s="54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</row>
    <row r="56" spans="1:116" s="45" customFormat="1" ht="6" customHeight="1">
      <c r="A56" s="54"/>
      <c r="B56" s="379"/>
      <c r="C56" s="380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50"/>
      <c r="AM56" s="54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</row>
    <row r="57" spans="1:116" s="45" customFormat="1" ht="15.75" customHeight="1">
      <c r="A57" s="54"/>
      <c r="B57" s="379"/>
      <c r="C57" s="380"/>
      <c r="D57" s="48"/>
      <c r="E57" s="48" t="s">
        <v>114</v>
      </c>
      <c r="F57" s="48"/>
      <c r="G57" s="48"/>
      <c r="H57" s="48"/>
      <c r="I57" s="48"/>
      <c r="J57" s="48"/>
      <c r="K57" s="48"/>
      <c r="L57" s="48"/>
      <c r="M57" s="48"/>
      <c r="N57" s="371"/>
      <c r="O57" s="372"/>
      <c r="P57" s="373"/>
      <c r="Q57" s="163"/>
      <c r="R57" s="48" t="s">
        <v>115</v>
      </c>
      <c r="T57" s="48"/>
      <c r="U57" s="48"/>
      <c r="W57" s="48"/>
      <c r="X57" s="48"/>
      <c r="Y57" s="374"/>
      <c r="Z57" s="375"/>
      <c r="AA57" s="375"/>
      <c r="AB57" s="375"/>
      <c r="AC57" s="375"/>
      <c r="AD57" s="375"/>
      <c r="AE57" s="375"/>
      <c r="AF57" s="375"/>
      <c r="AG57" s="375"/>
      <c r="AH57" s="375"/>
      <c r="AI57" s="375"/>
      <c r="AJ57" s="375"/>
      <c r="AK57" s="376"/>
      <c r="AL57" s="50"/>
      <c r="AM57" s="54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</row>
    <row r="58" spans="1:116" s="45" customFormat="1" ht="6" customHeight="1">
      <c r="A58" s="54"/>
      <c r="B58" s="379"/>
      <c r="C58" s="380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50"/>
      <c r="AM58" s="54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</row>
    <row r="59" spans="1:116" s="45" customFormat="1" ht="15.75" customHeight="1">
      <c r="A59" s="54"/>
      <c r="B59" s="379"/>
      <c r="C59" s="380"/>
      <c r="D59" s="48"/>
      <c r="E59" s="48" t="s">
        <v>116</v>
      </c>
      <c r="F59" s="48"/>
      <c r="G59" s="48"/>
      <c r="H59" s="48"/>
      <c r="I59" s="48"/>
      <c r="J59" s="48"/>
      <c r="K59" s="157"/>
      <c r="L59" s="155"/>
      <c r="M59" s="155"/>
      <c r="N59" s="381"/>
      <c r="O59" s="382"/>
      <c r="P59" s="382"/>
      <c r="Q59" s="382"/>
      <c r="R59" s="382"/>
      <c r="S59" s="382"/>
      <c r="T59" s="382"/>
      <c r="U59" s="382"/>
      <c r="V59" s="382"/>
      <c r="W59" s="382"/>
      <c r="X59" s="382"/>
      <c r="Y59" s="382"/>
      <c r="Z59" s="382"/>
      <c r="AA59" s="382"/>
      <c r="AB59" s="382"/>
      <c r="AC59" s="382"/>
      <c r="AD59" s="382"/>
      <c r="AE59" s="382"/>
      <c r="AF59" s="382"/>
      <c r="AG59" s="382"/>
      <c r="AH59" s="382"/>
      <c r="AI59" s="382"/>
      <c r="AJ59" s="382"/>
      <c r="AK59" s="383"/>
      <c r="AL59" s="50"/>
      <c r="AM59" s="54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</row>
    <row r="60" spans="1:116" s="45" customFormat="1" ht="6" customHeight="1">
      <c r="A60" s="54"/>
      <c r="B60" s="379"/>
      <c r="C60" s="380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50"/>
      <c r="AM60" s="54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</row>
    <row r="61" spans="1:116" s="45" customFormat="1" ht="15.75" customHeight="1">
      <c r="A61" s="54"/>
      <c r="B61" s="379"/>
      <c r="C61" s="380"/>
      <c r="D61" s="48"/>
      <c r="E61" s="48" t="s">
        <v>117</v>
      </c>
      <c r="F61" s="48"/>
      <c r="G61" s="48"/>
      <c r="H61" s="48"/>
      <c r="I61" s="48"/>
      <c r="J61" s="48"/>
      <c r="K61" s="157"/>
      <c r="L61" s="155"/>
      <c r="M61" s="155"/>
      <c r="N61" s="381"/>
      <c r="O61" s="382"/>
      <c r="P61" s="382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82"/>
      <c r="AB61" s="382"/>
      <c r="AC61" s="382"/>
      <c r="AD61" s="382"/>
      <c r="AE61" s="382"/>
      <c r="AF61" s="382"/>
      <c r="AG61" s="382"/>
      <c r="AH61" s="382"/>
      <c r="AI61" s="382"/>
      <c r="AJ61" s="382"/>
      <c r="AK61" s="383"/>
      <c r="AL61" s="50"/>
      <c r="AM61" s="54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</row>
    <row r="62" spans="1:116" s="45" customFormat="1" ht="6" customHeight="1">
      <c r="A62" s="54"/>
      <c r="B62" s="379"/>
      <c r="C62" s="380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50"/>
      <c r="AM62" s="54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</row>
    <row r="63" spans="1:116" s="45" customFormat="1" ht="15.75" customHeight="1">
      <c r="A63" s="54"/>
      <c r="B63" s="379"/>
      <c r="C63" s="380"/>
      <c r="D63" s="48"/>
      <c r="E63" s="48" t="s">
        <v>118</v>
      </c>
      <c r="F63" s="48"/>
      <c r="G63" s="48"/>
      <c r="H63" s="48"/>
      <c r="I63" s="48"/>
      <c r="J63" s="48"/>
      <c r="K63" s="157"/>
      <c r="L63" s="155"/>
      <c r="M63" s="155"/>
      <c r="N63" s="381"/>
      <c r="O63" s="382"/>
      <c r="P63" s="382"/>
      <c r="Q63" s="382"/>
      <c r="R63" s="382"/>
      <c r="S63" s="382"/>
      <c r="T63" s="382"/>
      <c r="U63" s="382"/>
      <c r="V63" s="382"/>
      <c r="W63" s="382"/>
      <c r="X63" s="382"/>
      <c r="Y63" s="382"/>
      <c r="Z63" s="382"/>
      <c r="AA63" s="382"/>
      <c r="AB63" s="382"/>
      <c r="AC63" s="382"/>
      <c r="AD63" s="382"/>
      <c r="AE63" s="382"/>
      <c r="AF63" s="382"/>
      <c r="AG63" s="382"/>
      <c r="AH63" s="382"/>
      <c r="AI63" s="382"/>
      <c r="AJ63" s="382"/>
      <c r="AK63" s="383"/>
      <c r="AL63" s="50"/>
      <c r="AM63" s="54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</row>
    <row r="64" spans="1:116" s="45" customFormat="1" ht="6" customHeight="1">
      <c r="A64" s="54"/>
      <c r="B64" s="379"/>
      <c r="C64" s="380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50"/>
      <c r="AM64" s="54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</row>
    <row r="65" spans="1:116" s="45" customFormat="1" ht="26.25" customHeight="1">
      <c r="A65" s="54"/>
      <c r="B65" s="379"/>
      <c r="C65" s="380"/>
      <c r="D65" s="48"/>
      <c r="E65" s="48" t="s">
        <v>119</v>
      </c>
      <c r="F65" s="48"/>
      <c r="G65" s="48"/>
      <c r="H65" s="48"/>
      <c r="I65" s="48"/>
      <c r="J65" s="48"/>
      <c r="K65" s="157"/>
      <c r="L65" s="155"/>
      <c r="M65" s="155"/>
      <c r="N65" s="384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6"/>
      <c r="AL65" s="50"/>
      <c r="AM65" s="54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</row>
    <row r="66" spans="1:116" s="45" customFormat="1" ht="6" customHeight="1">
      <c r="A66" s="54"/>
      <c r="B66" s="379"/>
      <c r="C66" s="380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50"/>
      <c r="AM66" s="54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</row>
    <row r="67" spans="1:116" s="45" customFormat="1" ht="18.75" customHeight="1">
      <c r="A67" s="54"/>
      <c r="B67" s="379"/>
      <c r="C67" s="380"/>
      <c r="D67" s="48"/>
      <c r="E67" s="48" t="s">
        <v>120</v>
      </c>
      <c r="F67" s="48"/>
      <c r="G67" s="48"/>
      <c r="H67" s="48"/>
      <c r="I67" s="48"/>
      <c r="J67" s="48"/>
      <c r="K67" s="157"/>
      <c r="L67" s="155"/>
      <c r="M67" s="155"/>
      <c r="N67" s="384"/>
      <c r="O67" s="385"/>
      <c r="P67" s="385"/>
      <c r="Q67" s="385"/>
      <c r="R67" s="385"/>
      <c r="S67" s="385"/>
      <c r="T67" s="385"/>
      <c r="U67" s="385"/>
      <c r="V67" s="385"/>
      <c r="W67" s="385"/>
      <c r="X67" s="385"/>
      <c r="Y67" s="385"/>
      <c r="Z67" s="385"/>
      <c r="AA67" s="385"/>
      <c r="AB67" s="385"/>
      <c r="AC67" s="385"/>
      <c r="AD67" s="385"/>
      <c r="AE67" s="385"/>
      <c r="AF67" s="385"/>
      <c r="AG67" s="385"/>
      <c r="AH67" s="385"/>
      <c r="AI67" s="385"/>
      <c r="AJ67" s="385"/>
      <c r="AK67" s="386"/>
      <c r="AL67" s="50"/>
      <c r="AM67" s="54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</row>
    <row r="68" spans="1:116" s="45" customFormat="1" ht="6" customHeight="1" thickBot="1">
      <c r="A68" s="54"/>
      <c r="B68" s="122"/>
      <c r="C68" s="123"/>
      <c r="D68" s="164"/>
      <c r="E68" s="164"/>
      <c r="F68" s="164"/>
      <c r="G68" s="164"/>
      <c r="H68" s="164"/>
      <c r="I68" s="164"/>
      <c r="J68" s="164"/>
      <c r="K68" s="165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7"/>
      <c r="AM68" s="54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</row>
    <row r="69" spans="1:116" s="45" customFormat="1" ht="6.75" customHeight="1" thickBo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</row>
    <row r="70" spans="1:116" s="45" customFormat="1" ht="6" customHeight="1">
      <c r="A70" s="54"/>
      <c r="B70" s="365"/>
      <c r="C70" s="36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7"/>
      <c r="AM70" s="54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</row>
    <row r="71" spans="1:116" s="45" customFormat="1" ht="32.25" customHeight="1">
      <c r="A71" s="54"/>
      <c r="B71" s="367"/>
      <c r="C71" s="368"/>
      <c r="D71" s="48"/>
      <c r="E71" s="48" t="s">
        <v>121</v>
      </c>
      <c r="F71" s="48"/>
      <c r="G71" s="48"/>
      <c r="H71" s="48"/>
      <c r="I71" s="48"/>
      <c r="J71" s="48"/>
      <c r="K71" s="48"/>
      <c r="L71" s="48"/>
      <c r="M71" s="48"/>
      <c r="N71" s="161"/>
      <c r="O71" s="371"/>
      <c r="P71" s="372"/>
      <c r="Q71" s="372"/>
      <c r="R71" s="372"/>
      <c r="S71" s="372"/>
      <c r="T71" s="372"/>
      <c r="U71" s="372"/>
      <c r="V71" s="372"/>
      <c r="W71" s="373"/>
      <c r="X71" s="48"/>
      <c r="Y71" s="53" t="s">
        <v>122</v>
      </c>
      <c r="AC71" s="48"/>
      <c r="AD71" s="374"/>
      <c r="AE71" s="375"/>
      <c r="AF71" s="375"/>
      <c r="AG71" s="375"/>
      <c r="AH71" s="375"/>
      <c r="AI71" s="375"/>
      <c r="AJ71" s="375"/>
      <c r="AK71" s="376"/>
      <c r="AL71" s="50"/>
      <c r="AM71" s="54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</row>
    <row r="72" spans="1:116" s="45" customFormat="1" ht="6" customHeight="1" thickBot="1">
      <c r="A72" s="54"/>
      <c r="B72" s="369"/>
      <c r="C72" s="370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2"/>
      <c r="AM72" s="54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</row>
    <row r="73" s="61" customFormat="1" ht="21.75" customHeight="1"/>
    <row r="74" s="61" customFormat="1" ht="21.75" customHeight="1"/>
    <row r="75" s="61" customFormat="1" ht="21.75" customHeight="1"/>
    <row r="76" s="61" customFormat="1" ht="21.75" customHeight="1"/>
    <row r="77" s="61" customFormat="1" ht="21.75" customHeight="1"/>
    <row r="78" s="61" customFormat="1" ht="21.75" customHeight="1"/>
    <row r="79" s="61" customFormat="1" ht="21.75" customHeight="1"/>
    <row r="80" s="61" customFormat="1" ht="21.75" customHeight="1"/>
    <row r="81" s="61" customFormat="1" ht="21.75" customHeight="1"/>
    <row r="82" s="61" customFormat="1" ht="21.75" customHeight="1"/>
    <row r="83" s="61" customFormat="1" ht="21.75" customHeight="1"/>
    <row r="84" s="61" customFormat="1" ht="21.75" customHeight="1"/>
    <row r="85" s="61" customFormat="1" ht="21.75" customHeight="1"/>
    <row r="86" s="61" customFormat="1" ht="21.75" customHeight="1"/>
    <row r="87" s="61" customFormat="1" ht="21.75" customHeight="1"/>
    <row r="88" s="2" customFormat="1" ht="21.75" customHeight="1"/>
    <row r="89" s="2" customFormat="1" ht="21.75" customHeight="1"/>
    <row r="90" s="2" customFormat="1" ht="21.75" customHeight="1"/>
    <row r="91" s="2" customFormat="1" ht="21.75" customHeight="1"/>
    <row r="92" s="2" customFormat="1" ht="21.75" customHeight="1"/>
    <row r="93" s="2" customFormat="1" ht="21.75" customHeight="1"/>
    <row r="94" s="2" customFormat="1" ht="21.75" customHeight="1"/>
    <row r="95" s="2" customFormat="1" ht="21.75" customHeight="1"/>
    <row r="96" s="2" customFormat="1" ht="21.75" customHeight="1"/>
    <row r="97" s="2" customFormat="1" ht="21.75" customHeight="1"/>
    <row r="98" s="2" customFormat="1" ht="21.75" customHeight="1"/>
    <row r="99" s="2" customFormat="1" ht="21.75" customHeight="1"/>
    <row r="100" s="2" customFormat="1" ht="21.75" customHeight="1"/>
    <row r="101" s="2" customFormat="1" ht="21.75" customHeight="1"/>
    <row r="102" s="2" customFormat="1" ht="21.75" customHeight="1"/>
    <row r="103" s="2" customFormat="1" ht="21.75" customHeight="1"/>
    <row r="104" s="2" customFormat="1" ht="21.75" customHeight="1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</sheetData>
  <mergeCells count="50">
    <mergeCell ref="AF2:AL3"/>
    <mergeCell ref="A3:S3"/>
    <mergeCell ref="B4:C18"/>
    <mergeCell ref="K5:AK5"/>
    <mergeCell ref="H7:AK7"/>
    <mergeCell ref="H9:O9"/>
    <mergeCell ref="T9:AB9"/>
    <mergeCell ref="AI9:AK9"/>
    <mergeCell ref="H11:T11"/>
    <mergeCell ref="Y11:AK11"/>
    <mergeCell ref="K13:X13"/>
    <mergeCell ref="AB13:AK13"/>
    <mergeCell ref="H15:X15"/>
    <mergeCell ref="AB15:AK15"/>
    <mergeCell ref="K17:X17"/>
    <mergeCell ref="AD17:AK17"/>
    <mergeCell ref="B20:C34"/>
    <mergeCell ref="K21:AK21"/>
    <mergeCell ref="M23:X23"/>
    <mergeCell ref="K25:AK25"/>
    <mergeCell ref="K27:AK27"/>
    <mergeCell ref="K29:U29"/>
    <mergeCell ref="Z29:AK29"/>
    <mergeCell ref="P31:AA31"/>
    <mergeCell ref="AE31:AK31"/>
    <mergeCell ref="K33:T33"/>
    <mergeCell ref="AB33:AK33"/>
    <mergeCell ref="B36:C42"/>
    <mergeCell ref="N37:S37"/>
    <mergeCell ref="AF37:AK37"/>
    <mergeCell ref="N39:S39"/>
    <mergeCell ref="N63:AK63"/>
    <mergeCell ref="N65:AK65"/>
    <mergeCell ref="N67:AK67"/>
    <mergeCell ref="B44:C50"/>
    <mergeCell ref="N45:S45"/>
    <mergeCell ref="AG45:AK45"/>
    <mergeCell ref="N47:AK47"/>
    <mergeCell ref="N49:Q49"/>
    <mergeCell ref="W49:AK49"/>
    <mergeCell ref="B70:C72"/>
    <mergeCell ref="O71:W71"/>
    <mergeCell ref="AD71:AK71"/>
    <mergeCell ref="B52:C67"/>
    <mergeCell ref="N53:AK53"/>
    <mergeCell ref="N55:AK55"/>
    <mergeCell ref="N57:P57"/>
    <mergeCell ref="Y57:AK57"/>
    <mergeCell ref="N59:AK59"/>
    <mergeCell ref="N61:AK61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J.Dušek</dc:creator>
  <cp:keywords/>
  <dc:description/>
  <cp:lastModifiedBy>Recepce</cp:lastModifiedBy>
  <cp:lastPrinted>2010-01-14T12:37:03Z</cp:lastPrinted>
  <dcterms:created xsi:type="dcterms:W3CDTF">2003-11-27T14:57:57Z</dcterms:created>
  <dcterms:modified xsi:type="dcterms:W3CDTF">2010-02-22T14:01:39Z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